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 Švrčková\! celoplošky 2025\VZ\dotazy\P01 Soupisy stavebnich praci\P01 Soupisy stavebnich praci\"/>
    </mc:Choice>
  </mc:AlternateContent>
  <xr:revisionPtr revIDLastSave="0" documentId="13_ncr:1_{790C9FC6-1E8B-41E1-AFD0-2382CCCAAAB0}" xr6:coauthVersionLast="36" xr6:coauthVersionMax="36" xr10:uidLastSave="{00000000-0000-0000-0000-000000000000}"/>
  <bookViews>
    <workbookView xWindow="0" yWindow="0" windowWidth="21570" windowHeight="9855" activeTab="3" xr2:uid="{00000000-000D-0000-FFFF-FFFF00000000}"/>
  </bookViews>
  <sheets>
    <sheet name="Stavební rozpočet - součet" sheetId="1" r:id="rId1"/>
    <sheet name="Krycí list rozpočtu" sheetId="2" r:id="rId2"/>
    <sheet name="VORN" sheetId="3" state="hidden" r:id="rId3"/>
    <sheet name="Stavební rozpočet" sheetId="4" r:id="rId4"/>
  </sheets>
  <definedNames>
    <definedName name="vorn_sum">VORN!$I$36</definedName>
  </definedNames>
  <calcPr calcId="191029"/>
</workbook>
</file>

<file path=xl/calcChain.xml><?xml version="1.0" encoding="utf-8"?>
<calcChain xmlns="http://schemas.openxmlformats.org/spreadsheetml/2006/main">
  <c r="BJ77" i="4" l="1"/>
  <c r="BF77" i="4"/>
  <c r="BD77" i="4"/>
  <c r="AP77" i="4"/>
  <c r="BI77" i="4" s="1"/>
  <c r="AO77" i="4"/>
  <c r="AW77" i="4" s="1"/>
  <c r="AK77" i="4"/>
  <c r="AJ77" i="4"/>
  <c r="AH77" i="4"/>
  <c r="AG77" i="4"/>
  <c r="AF77" i="4"/>
  <c r="AE77" i="4"/>
  <c r="AD77" i="4"/>
  <c r="AC77" i="4"/>
  <c r="AB77" i="4"/>
  <c r="Z77" i="4"/>
  <c r="I77" i="4"/>
  <c r="AL77" i="4" s="1"/>
  <c r="BJ76" i="4"/>
  <c r="BF76" i="4"/>
  <c r="BD76" i="4"/>
  <c r="AP76" i="4"/>
  <c r="BI76" i="4" s="1"/>
  <c r="AO76" i="4"/>
  <c r="BH76" i="4" s="1"/>
  <c r="AK76" i="4"/>
  <c r="AJ76" i="4"/>
  <c r="AH76" i="4"/>
  <c r="AG76" i="4"/>
  <c r="AF76" i="4"/>
  <c r="AE76" i="4"/>
  <c r="AD76" i="4"/>
  <c r="AC76" i="4"/>
  <c r="AB76" i="4"/>
  <c r="Z76" i="4"/>
  <c r="I76" i="4"/>
  <c r="AL76" i="4" s="1"/>
  <c r="BJ73" i="4"/>
  <c r="BF73" i="4"/>
  <c r="BD73" i="4"/>
  <c r="AP73" i="4"/>
  <c r="BI73" i="4" s="1"/>
  <c r="AO73" i="4"/>
  <c r="BH73" i="4" s="1"/>
  <c r="AK73" i="4"/>
  <c r="AJ73" i="4"/>
  <c r="AH73" i="4"/>
  <c r="AG73" i="4"/>
  <c r="AF73" i="4"/>
  <c r="AE73" i="4"/>
  <c r="AD73" i="4"/>
  <c r="AC73" i="4"/>
  <c r="AB73" i="4"/>
  <c r="Z73" i="4"/>
  <c r="I73" i="4"/>
  <c r="BJ71" i="4"/>
  <c r="Z71" i="4" s="1"/>
  <c r="BF71" i="4"/>
  <c r="BD71" i="4"/>
  <c r="AX71" i="4"/>
  <c r="AP71" i="4"/>
  <c r="BI71" i="4" s="1"/>
  <c r="AO71" i="4"/>
  <c r="BH71" i="4" s="1"/>
  <c r="AK71" i="4"/>
  <c r="AJ71" i="4"/>
  <c r="AH71" i="4"/>
  <c r="AG71" i="4"/>
  <c r="AF71" i="4"/>
  <c r="AE71" i="4"/>
  <c r="AD71" i="4"/>
  <c r="AC71" i="4"/>
  <c r="AB71" i="4"/>
  <c r="I71" i="4"/>
  <c r="AL71" i="4" s="1"/>
  <c r="BJ69" i="4"/>
  <c r="BF69" i="4"/>
  <c r="BD69" i="4"/>
  <c r="AP69" i="4"/>
  <c r="BI69" i="4" s="1"/>
  <c r="AO69" i="4"/>
  <c r="BH69" i="4" s="1"/>
  <c r="AL69" i="4"/>
  <c r="AK69" i="4"/>
  <c r="AJ69" i="4"/>
  <c r="AH69" i="4"/>
  <c r="AG69" i="4"/>
  <c r="AF69" i="4"/>
  <c r="AE69" i="4"/>
  <c r="AD69" i="4"/>
  <c r="AC69" i="4"/>
  <c r="AB69" i="4"/>
  <c r="Z69" i="4"/>
  <c r="I69" i="4"/>
  <c r="BJ68" i="4"/>
  <c r="BF68" i="4"/>
  <c r="BD68" i="4"/>
  <c r="AP68" i="4"/>
  <c r="BI68" i="4" s="1"/>
  <c r="AC68" i="4" s="1"/>
  <c r="AO68" i="4"/>
  <c r="BH68" i="4" s="1"/>
  <c r="AB68" i="4" s="1"/>
  <c r="AK68" i="4"/>
  <c r="AJ68" i="4"/>
  <c r="AH68" i="4"/>
  <c r="AG68" i="4"/>
  <c r="AF68" i="4"/>
  <c r="AE68" i="4"/>
  <c r="AD68" i="4"/>
  <c r="Z68" i="4"/>
  <c r="I68" i="4"/>
  <c r="BJ67" i="4"/>
  <c r="BF67" i="4"/>
  <c r="BD67" i="4"/>
  <c r="AP67" i="4"/>
  <c r="BI67" i="4" s="1"/>
  <c r="AC67" i="4" s="1"/>
  <c r="AO67" i="4"/>
  <c r="BH67" i="4" s="1"/>
  <c r="AB67" i="4" s="1"/>
  <c r="AK67" i="4"/>
  <c r="AJ67" i="4"/>
  <c r="AH67" i="4"/>
  <c r="AG67" i="4"/>
  <c r="AF67" i="4"/>
  <c r="AE67" i="4"/>
  <c r="AD67" i="4"/>
  <c r="Z67" i="4"/>
  <c r="I67" i="4"/>
  <c r="AL67" i="4" s="1"/>
  <c r="BJ65" i="4"/>
  <c r="BF65" i="4"/>
  <c r="BD65" i="4"/>
  <c r="AX65" i="4"/>
  <c r="AW65" i="4"/>
  <c r="BC65" i="4" s="1"/>
  <c r="AV65" i="4"/>
  <c r="AP65" i="4"/>
  <c r="BI65" i="4" s="1"/>
  <c r="AC65" i="4" s="1"/>
  <c r="AO65" i="4"/>
  <c r="BH65" i="4" s="1"/>
  <c r="AB65" i="4" s="1"/>
  <c r="AK65" i="4"/>
  <c r="AJ65" i="4"/>
  <c r="AH65" i="4"/>
  <c r="AG65" i="4"/>
  <c r="AF65" i="4"/>
  <c r="AE65" i="4"/>
  <c r="AD65" i="4"/>
  <c r="Z65" i="4"/>
  <c r="I65" i="4"/>
  <c r="AL65" i="4" s="1"/>
  <c r="BJ64" i="4"/>
  <c r="BF64" i="4"/>
  <c r="BD64" i="4"/>
  <c r="AW64" i="4"/>
  <c r="AP64" i="4"/>
  <c r="BI64" i="4" s="1"/>
  <c r="AC64" i="4" s="1"/>
  <c r="AO64" i="4"/>
  <c r="BH64" i="4" s="1"/>
  <c r="AB64" i="4" s="1"/>
  <c r="AK64" i="4"/>
  <c r="AJ64" i="4"/>
  <c r="AS62" i="4" s="1"/>
  <c r="AH64" i="4"/>
  <c r="AG64" i="4"/>
  <c r="AF64" i="4"/>
  <c r="AE64" i="4"/>
  <c r="AD64" i="4"/>
  <c r="Z64" i="4"/>
  <c r="I64" i="4"/>
  <c r="AL64" i="4" s="1"/>
  <c r="BJ63" i="4"/>
  <c r="BF63" i="4"/>
  <c r="BD63" i="4"/>
  <c r="AP63" i="4"/>
  <c r="BI63" i="4" s="1"/>
  <c r="AC63" i="4" s="1"/>
  <c r="AO63" i="4"/>
  <c r="BH63" i="4" s="1"/>
  <c r="AB63" i="4" s="1"/>
  <c r="AK63" i="4"/>
  <c r="AJ63" i="4"/>
  <c r="AH63" i="4"/>
  <c r="AG63" i="4"/>
  <c r="AF63" i="4"/>
  <c r="AE63" i="4"/>
  <c r="AD63" i="4"/>
  <c r="Z63" i="4"/>
  <c r="I63" i="4"/>
  <c r="AL63" i="4" s="1"/>
  <c r="BJ60" i="4"/>
  <c r="BF60" i="4"/>
  <c r="BD60" i="4"/>
  <c r="AW60" i="4"/>
  <c r="AP60" i="4"/>
  <c r="BI60" i="4" s="1"/>
  <c r="AC60" i="4" s="1"/>
  <c r="AO60" i="4"/>
  <c r="BH60" i="4" s="1"/>
  <c r="AB60" i="4" s="1"/>
  <c r="AK60" i="4"/>
  <c r="AJ60" i="4"/>
  <c r="AS59" i="4" s="1"/>
  <c r="AH60" i="4"/>
  <c r="AG60" i="4"/>
  <c r="AF60" i="4"/>
  <c r="AE60" i="4"/>
  <c r="AD60" i="4"/>
  <c r="Z60" i="4"/>
  <c r="I60" i="4"/>
  <c r="I59" i="4" s="1"/>
  <c r="G17" i="1" s="1"/>
  <c r="I17" i="1" s="1"/>
  <c r="AT59" i="4"/>
  <c r="BJ58" i="4"/>
  <c r="BF58" i="4"/>
  <c r="BD58" i="4"/>
  <c r="AW58" i="4"/>
  <c r="AP58" i="4"/>
  <c r="BI58" i="4" s="1"/>
  <c r="AC58" i="4" s="1"/>
  <c r="AO58" i="4"/>
  <c r="BH58" i="4" s="1"/>
  <c r="AB58" i="4" s="1"/>
  <c r="AL58" i="4"/>
  <c r="AK58" i="4"/>
  <c r="AJ58" i="4"/>
  <c r="AH58" i="4"/>
  <c r="AG58" i="4"/>
  <c r="AF58" i="4"/>
  <c r="AE58" i="4"/>
  <c r="AD58" i="4"/>
  <c r="Z58" i="4"/>
  <c r="I58" i="4"/>
  <c r="BJ56" i="4"/>
  <c r="BF56" i="4"/>
  <c r="BD56" i="4"/>
  <c r="AW56" i="4"/>
  <c r="AP56" i="4"/>
  <c r="BI56" i="4" s="1"/>
  <c r="AC56" i="4" s="1"/>
  <c r="AO56" i="4"/>
  <c r="BH56" i="4" s="1"/>
  <c r="AB56" i="4" s="1"/>
  <c r="AK56" i="4"/>
  <c r="AJ56" i="4"/>
  <c r="AH56" i="4"/>
  <c r="AG56" i="4"/>
  <c r="AF56" i="4"/>
  <c r="AE56" i="4"/>
  <c r="AD56" i="4"/>
  <c r="Z56" i="4"/>
  <c r="I56" i="4"/>
  <c r="AL56" i="4" s="1"/>
  <c r="BJ53" i="4"/>
  <c r="BF53" i="4"/>
  <c r="BD53" i="4"/>
  <c r="AP53" i="4"/>
  <c r="BI53" i="4" s="1"/>
  <c r="AC53" i="4" s="1"/>
  <c r="AO53" i="4"/>
  <c r="BH53" i="4" s="1"/>
  <c r="AB53" i="4" s="1"/>
  <c r="AK53" i="4"/>
  <c r="AJ53" i="4"/>
  <c r="AH53" i="4"/>
  <c r="AG53" i="4"/>
  <c r="AF53" i="4"/>
  <c r="AE53" i="4"/>
  <c r="AD53" i="4"/>
  <c r="Z53" i="4"/>
  <c r="I53" i="4"/>
  <c r="AL53" i="4" s="1"/>
  <c r="BJ51" i="4"/>
  <c r="BF51" i="4"/>
  <c r="BD51" i="4"/>
  <c r="AX51" i="4"/>
  <c r="AP51" i="4"/>
  <c r="BI51" i="4" s="1"/>
  <c r="AC51" i="4" s="1"/>
  <c r="AO51" i="4"/>
  <c r="BH51" i="4" s="1"/>
  <c r="AB51" i="4" s="1"/>
  <c r="AK51" i="4"/>
  <c r="AJ51" i="4"/>
  <c r="AH51" i="4"/>
  <c r="AG51" i="4"/>
  <c r="AF51" i="4"/>
  <c r="AE51" i="4"/>
  <c r="AD51" i="4"/>
  <c r="Z51" i="4"/>
  <c r="I51" i="4"/>
  <c r="BJ32" i="4"/>
  <c r="BF32" i="4"/>
  <c r="BD32" i="4"/>
  <c r="AX32" i="4"/>
  <c r="AP32" i="4"/>
  <c r="BI32" i="4" s="1"/>
  <c r="AC32" i="4" s="1"/>
  <c r="AO32" i="4"/>
  <c r="BH32" i="4" s="1"/>
  <c r="AB32" i="4" s="1"/>
  <c r="AK32" i="4"/>
  <c r="AJ32" i="4"/>
  <c r="AH32" i="4"/>
  <c r="AG32" i="4"/>
  <c r="AF32" i="4"/>
  <c r="AE32" i="4"/>
  <c r="AD32" i="4"/>
  <c r="Z32" i="4"/>
  <c r="I32" i="4"/>
  <c r="AL32" i="4" s="1"/>
  <c r="AT31" i="4"/>
  <c r="BJ30" i="4"/>
  <c r="BF30" i="4"/>
  <c r="BD30" i="4"/>
  <c r="AP30" i="4"/>
  <c r="BI30" i="4" s="1"/>
  <c r="AC30" i="4" s="1"/>
  <c r="AO30" i="4"/>
  <c r="BH30" i="4" s="1"/>
  <c r="AB30" i="4" s="1"/>
  <c r="AK30" i="4"/>
  <c r="AT29" i="4" s="1"/>
  <c r="AJ30" i="4"/>
  <c r="AH30" i="4"/>
  <c r="AG30" i="4"/>
  <c r="AF30" i="4"/>
  <c r="AE30" i="4"/>
  <c r="AD30" i="4"/>
  <c r="Z30" i="4"/>
  <c r="I30" i="4"/>
  <c r="AL30" i="4" s="1"/>
  <c r="AU29" i="4" s="1"/>
  <c r="BJ27" i="4"/>
  <c r="BF27" i="4"/>
  <c r="BD27" i="4"/>
  <c r="AP27" i="4"/>
  <c r="BI27" i="4" s="1"/>
  <c r="AC27" i="4" s="1"/>
  <c r="AO27" i="4"/>
  <c r="BH27" i="4" s="1"/>
  <c r="AB27" i="4" s="1"/>
  <c r="AK27" i="4"/>
  <c r="AJ27" i="4"/>
  <c r="AH27" i="4"/>
  <c r="AG27" i="4"/>
  <c r="AF27" i="4"/>
  <c r="AE27" i="4"/>
  <c r="AD27" i="4"/>
  <c r="Z27" i="4"/>
  <c r="I27" i="4"/>
  <c r="BJ26" i="4"/>
  <c r="BF26" i="4"/>
  <c r="BD26" i="4"/>
  <c r="AP26" i="4"/>
  <c r="BI26" i="4" s="1"/>
  <c r="AC26" i="4" s="1"/>
  <c r="AO26" i="4"/>
  <c r="BH26" i="4" s="1"/>
  <c r="AB26" i="4" s="1"/>
  <c r="AL26" i="4"/>
  <c r="AK26" i="4"/>
  <c r="AJ26" i="4"/>
  <c r="AH26" i="4"/>
  <c r="AG26" i="4"/>
  <c r="AF26" i="4"/>
  <c r="AE26" i="4"/>
  <c r="AD26" i="4"/>
  <c r="Z26" i="4"/>
  <c r="I26" i="4"/>
  <c r="BJ21" i="4"/>
  <c r="BF21" i="4"/>
  <c r="BD21" i="4"/>
  <c r="AP21" i="4"/>
  <c r="BI21" i="4" s="1"/>
  <c r="AC21" i="4" s="1"/>
  <c r="AO21" i="4"/>
  <c r="BH21" i="4" s="1"/>
  <c r="AB21" i="4" s="1"/>
  <c r="AK21" i="4"/>
  <c r="AT20" i="4" s="1"/>
  <c r="AJ21" i="4"/>
  <c r="AS20" i="4" s="1"/>
  <c r="AH21" i="4"/>
  <c r="AG21" i="4"/>
  <c r="AF21" i="4"/>
  <c r="AE21" i="4"/>
  <c r="AD21" i="4"/>
  <c r="Z21" i="4"/>
  <c r="I21" i="4"/>
  <c r="AL21" i="4" s="1"/>
  <c r="AU20" i="4" s="1"/>
  <c r="I20" i="4"/>
  <c r="G12" i="1" s="1"/>
  <c r="I12" i="1" s="1"/>
  <c r="BJ19" i="4"/>
  <c r="BF19" i="4"/>
  <c r="BD19" i="4"/>
  <c r="AP19" i="4"/>
  <c r="BI19" i="4" s="1"/>
  <c r="AC19" i="4" s="1"/>
  <c r="AO19" i="4"/>
  <c r="BH19" i="4" s="1"/>
  <c r="AB19" i="4" s="1"/>
  <c r="AK19" i="4"/>
  <c r="AJ19" i="4"/>
  <c r="AH19" i="4"/>
  <c r="AG19" i="4"/>
  <c r="AF19" i="4"/>
  <c r="AE19" i="4"/>
  <c r="AD19" i="4"/>
  <c r="Z19" i="4"/>
  <c r="I19" i="4"/>
  <c r="AL19" i="4" s="1"/>
  <c r="BJ18" i="4"/>
  <c r="BF18" i="4"/>
  <c r="BD18" i="4"/>
  <c r="AP18" i="4"/>
  <c r="BI18" i="4" s="1"/>
  <c r="AC18" i="4" s="1"/>
  <c r="AO18" i="4"/>
  <c r="BH18" i="4" s="1"/>
  <c r="AB18" i="4" s="1"/>
  <c r="AK18" i="4"/>
  <c r="AJ18" i="4"/>
  <c r="AH18" i="4"/>
  <c r="AG18" i="4"/>
  <c r="AF18" i="4"/>
  <c r="AE18" i="4"/>
  <c r="AD18" i="4"/>
  <c r="Z18" i="4"/>
  <c r="I18" i="4"/>
  <c r="AL18" i="4" s="1"/>
  <c r="BJ17" i="4"/>
  <c r="BF17" i="4"/>
  <c r="BD17" i="4"/>
  <c r="AP17" i="4"/>
  <c r="BI17" i="4" s="1"/>
  <c r="AC17" i="4" s="1"/>
  <c r="AO17" i="4"/>
  <c r="BH17" i="4" s="1"/>
  <c r="AB17" i="4" s="1"/>
  <c r="AK17" i="4"/>
  <c r="AJ17" i="4"/>
  <c r="AH17" i="4"/>
  <c r="AG17" i="4"/>
  <c r="AF17" i="4"/>
  <c r="AE17" i="4"/>
  <c r="AD17" i="4"/>
  <c r="Z17" i="4"/>
  <c r="I17" i="4"/>
  <c r="AL17" i="4" s="1"/>
  <c r="BJ16" i="4"/>
  <c r="BF16" i="4"/>
  <c r="BD16" i="4"/>
  <c r="AP16" i="4"/>
  <c r="BI16" i="4" s="1"/>
  <c r="AC16" i="4" s="1"/>
  <c r="AO16" i="4"/>
  <c r="BH16" i="4" s="1"/>
  <c r="AB16" i="4" s="1"/>
  <c r="AK16" i="4"/>
  <c r="AJ16" i="4"/>
  <c r="AH16" i="4"/>
  <c r="AG16" i="4"/>
  <c r="AF16" i="4"/>
  <c r="AE16" i="4"/>
  <c r="AD16" i="4"/>
  <c r="Z16" i="4"/>
  <c r="I16" i="4"/>
  <c r="AL16" i="4" s="1"/>
  <c r="BJ13" i="4"/>
  <c r="BF13" i="4"/>
  <c r="BD13" i="4"/>
  <c r="AP13" i="4"/>
  <c r="BI13" i="4" s="1"/>
  <c r="AC13" i="4" s="1"/>
  <c r="AO13" i="4"/>
  <c r="BH13" i="4" s="1"/>
  <c r="AB13" i="4" s="1"/>
  <c r="AK13" i="4"/>
  <c r="AJ13" i="4"/>
  <c r="AH13" i="4"/>
  <c r="AG13" i="4"/>
  <c r="AF13" i="4"/>
  <c r="AE13" i="4"/>
  <c r="AD13" i="4"/>
  <c r="Z13" i="4"/>
  <c r="I13" i="4"/>
  <c r="AU1" i="4"/>
  <c r="AT1" i="4"/>
  <c r="AS1" i="4"/>
  <c r="I35" i="3"/>
  <c r="I36" i="3" s="1"/>
  <c r="I24" i="2" s="1"/>
  <c r="I26" i="3"/>
  <c r="I25" i="3"/>
  <c r="I24" i="3"/>
  <c r="I23" i="3"/>
  <c r="I22" i="3"/>
  <c r="I21" i="3"/>
  <c r="I17" i="3"/>
  <c r="F16" i="2" s="1"/>
  <c r="I16" i="3"/>
  <c r="F15" i="2" s="1"/>
  <c r="I15" i="3"/>
  <c r="I10" i="3"/>
  <c r="F10" i="3"/>
  <c r="C10" i="3"/>
  <c r="F8" i="3"/>
  <c r="C8" i="3"/>
  <c r="F6" i="3"/>
  <c r="C6" i="3"/>
  <c r="F4" i="3"/>
  <c r="C4" i="3"/>
  <c r="F2" i="3"/>
  <c r="C2" i="3"/>
  <c r="I19" i="2"/>
  <c r="I18" i="2"/>
  <c r="I17" i="2"/>
  <c r="I15" i="2"/>
  <c r="I14" i="2"/>
  <c r="F14" i="2"/>
  <c r="I10" i="2"/>
  <c r="F10" i="2"/>
  <c r="C10" i="2"/>
  <c r="F8" i="2"/>
  <c r="C8" i="2"/>
  <c r="F6" i="2"/>
  <c r="C6" i="2"/>
  <c r="F4" i="2"/>
  <c r="C4" i="2"/>
  <c r="F2" i="2"/>
  <c r="C2" i="2"/>
  <c r="G8" i="1"/>
  <c r="C8" i="1"/>
  <c r="G6" i="1"/>
  <c r="C6" i="1"/>
  <c r="G4" i="1"/>
  <c r="C4" i="1"/>
  <c r="G2" i="1"/>
  <c r="C2" i="1"/>
  <c r="C17" i="2" l="1"/>
  <c r="C19" i="2"/>
  <c r="C15" i="2"/>
  <c r="C16" i="2"/>
  <c r="AT66" i="4"/>
  <c r="AS70" i="4"/>
  <c r="AT70" i="4"/>
  <c r="AX21" i="4"/>
  <c r="AW26" i="4"/>
  <c r="I62" i="4"/>
  <c r="G18" i="1" s="1"/>
  <c r="I18" i="1" s="1"/>
  <c r="AW13" i="4"/>
  <c r="AW16" i="4"/>
  <c r="AW21" i="4"/>
  <c r="AS12" i="4"/>
  <c r="I12" i="4"/>
  <c r="AL13" i="4"/>
  <c r="AU12" i="4" s="1"/>
  <c r="I25" i="4"/>
  <c r="G13" i="1" s="1"/>
  <c r="I13" i="1" s="1"/>
  <c r="AW32" i="4"/>
  <c r="AV32" i="4" s="1"/>
  <c r="AW51" i="4"/>
  <c r="BC51" i="4" s="1"/>
  <c r="AX60" i="4"/>
  <c r="BC60" i="4" s="1"/>
  <c r="AX63" i="4"/>
  <c r="C20" i="2"/>
  <c r="C28" i="2"/>
  <c r="F28" i="2" s="1"/>
  <c r="C27" i="2"/>
  <c r="C18" i="2"/>
  <c r="AW67" i="4"/>
  <c r="BC67" i="4" s="1"/>
  <c r="AX16" i="4"/>
  <c r="AW17" i="4"/>
  <c r="AX18" i="4"/>
  <c r="AW19" i="4"/>
  <c r="AS31" i="4"/>
  <c r="AX58" i="4"/>
  <c r="AV58" i="4" s="1"/>
  <c r="AX67" i="4"/>
  <c r="AX73" i="4"/>
  <c r="AV73" i="4" s="1"/>
  <c r="BC58" i="4"/>
  <c r="I27" i="3"/>
  <c r="AX17" i="4"/>
  <c r="I31" i="4"/>
  <c r="G15" i="1" s="1"/>
  <c r="I15" i="1" s="1"/>
  <c r="AS52" i="4"/>
  <c r="AL60" i="4"/>
  <c r="AU59" i="4" s="1"/>
  <c r="AT62" i="4"/>
  <c r="AW69" i="4"/>
  <c r="I70" i="4"/>
  <c r="G20" i="1" s="1"/>
  <c r="I20" i="1" s="1"/>
  <c r="AX76" i="4"/>
  <c r="AX27" i="4"/>
  <c r="AT12" i="4"/>
  <c r="AS25" i="4"/>
  <c r="I29" i="4"/>
  <c r="G14" i="1" s="1"/>
  <c r="I14" i="1" s="1"/>
  <c r="AW30" i="4"/>
  <c r="AL51" i="4"/>
  <c r="AU31" i="4" s="1"/>
  <c r="I52" i="4"/>
  <c r="G16" i="1" s="1"/>
  <c r="I16" i="1" s="1"/>
  <c r="AT52" i="4"/>
  <c r="AU62" i="4"/>
  <c r="AX68" i="4"/>
  <c r="C21" i="2"/>
  <c r="AT25" i="4"/>
  <c r="AS29" i="4"/>
  <c r="AU52" i="4"/>
  <c r="AS66" i="4"/>
  <c r="AX53" i="4"/>
  <c r="AX26" i="4"/>
  <c r="AW73" i="4"/>
  <c r="AV21" i="4"/>
  <c r="BC32" i="4"/>
  <c r="I66" i="4"/>
  <c r="G19" i="1" s="1"/>
  <c r="I19" i="1" s="1"/>
  <c r="AW71" i="4"/>
  <c r="AL73" i="4"/>
  <c r="AU70" i="4" s="1"/>
  <c r="F22" i="2"/>
  <c r="C14" i="2"/>
  <c r="I16" i="2"/>
  <c r="I22" i="2" s="1"/>
  <c r="AX13" i="4"/>
  <c r="AW18" i="4"/>
  <c r="AX19" i="4"/>
  <c r="AL27" i="4"/>
  <c r="AU25" i="4" s="1"/>
  <c r="AW27" i="4"/>
  <c r="AX30" i="4"/>
  <c r="AW53" i="4"/>
  <c r="AX56" i="4"/>
  <c r="AV60" i="4"/>
  <c r="AW63" i="4"/>
  <c r="AX64" i="4"/>
  <c r="AL68" i="4"/>
  <c r="AU66" i="4" s="1"/>
  <c r="AW68" i="4"/>
  <c r="AX69" i="4"/>
  <c r="AW76" i="4"/>
  <c r="AX77" i="4"/>
  <c r="AV77" i="4" s="1"/>
  <c r="BH77" i="4"/>
  <c r="I18" i="3"/>
  <c r="F29" i="3" s="1"/>
  <c r="AV17" i="4" l="1"/>
  <c r="AV16" i="4"/>
  <c r="AV67" i="4"/>
  <c r="AV51" i="4"/>
  <c r="BC26" i="4"/>
  <c r="I78" i="4"/>
  <c r="BC21" i="4"/>
  <c r="C22" i="2"/>
  <c r="BC71" i="4"/>
  <c r="AV71" i="4"/>
  <c r="BC17" i="4"/>
  <c r="BC16" i="4"/>
  <c r="AV26" i="4"/>
  <c r="G11" i="1"/>
  <c r="I11" i="1" s="1"/>
  <c r="G21" i="1" s="1"/>
  <c r="BC73" i="4"/>
  <c r="AV68" i="4"/>
  <c r="BC68" i="4"/>
  <c r="AV13" i="4"/>
  <c r="BC13" i="4"/>
  <c r="AV76" i="4"/>
  <c r="BC76" i="4"/>
  <c r="AV27" i="4"/>
  <c r="BC27" i="4"/>
  <c r="AV18" i="4"/>
  <c r="BC18" i="4"/>
  <c r="BC77" i="4"/>
  <c r="C29" i="2"/>
  <c r="AV63" i="4"/>
  <c r="BC63" i="4"/>
  <c r="AV30" i="4"/>
  <c r="BC30" i="4"/>
  <c r="AV19" i="4"/>
  <c r="BC19" i="4"/>
  <c r="AV56" i="4"/>
  <c r="BC56" i="4"/>
  <c r="AV69" i="4"/>
  <c r="BC69" i="4"/>
  <c r="AV64" i="4"/>
  <c r="BC64" i="4"/>
  <c r="AV53" i="4"/>
  <c r="BC53" i="4"/>
  <c r="F29" i="2" l="1"/>
  <c r="I28" i="2"/>
  <c r="I29" i="2" l="1"/>
</calcChain>
</file>

<file path=xl/sharedStrings.xml><?xml version="1.0" encoding="utf-8"?>
<sst xmlns="http://schemas.openxmlformats.org/spreadsheetml/2006/main" count="705" uniqueCount="255">
  <si>
    <t>Slepý stavební rozpočet - rekapitulace</t>
  </si>
  <si>
    <t>Název stavby:</t>
  </si>
  <si>
    <t>Doba výstavby:</t>
  </si>
  <si>
    <t xml:space="preserve"> </t>
  </si>
  <si>
    <t>Objednatel:</t>
  </si>
  <si>
    <t>Druh stavby:</t>
  </si>
  <si>
    <t>Začátek výstavby:</t>
  </si>
  <si>
    <t>18.06.2024</t>
  </si>
  <si>
    <t>Projektant:</t>
  </si>
  <si>
    <t>Lokalita:</t>
  </si>
  <si>
    <t>Konec výstavby:</t>
  </si>
  <si>
    <t>Zhotovitel:</t>
  </si>
  <si>
    <t>Zpracoval:</t>
  </si>
  <si>
    <t>Zpracováno dne:</t>
  </si>
  <si>
    <t>Objekt</t>
  </si>
  <si>
    <t>Kód</t>
  </si>
  <si>
    <t>Zkrácený popis</t>
  </si>
  <si>
    <t>Náklady (Kč) - celkem</t>
  </si>
  <si>
    <t/>
  </si>
  <si>
    <t>00</t>
  </si>
  <si>
    <t>Vedlejší a ostatní náklady</t>
  </si>
  <si>
    <t>T</t>
  </si>
  <si>
    <t>13</t>
  </si>
  <si>
    <t>Hloubené vykopávky</t>
  </si>
  <si>
    <t>16</t>
  </si>
  <si>
    <t>Přemístění výkopku</t>
  </si>
  <si>
    <t>19</t>
  </si>
  <si>
    <t>Hloubení pro podzemní stěny, ražení a hloubení důlní</t>
  </si>
  <si>
    <t>11</t>
  </si>
  <si>
    <t>Přípravné a přidružené práce</t>
  </si>
  <si>
    <t>57</t>
  </si>
  <si>
    <t>Kryty pozemních komunikací, letišť a ploch z kameniva nebo živičné</t>
  </si>
  <si>
    <t>59</t>
  </si>
  <si>
    <t>Kryty pozemních komunikací, letišť a ploch dlážděných (předlažby)</t>
  </si>
  <si>
    <t>89</t>
  </si>
  <si>
    <t>Ostatní konstrukce a práce na trubním vedení</t>
  </si>
  <si>
    <t>91</t>
  </si>
  <si>
    <t>Doplňující konstrukce a práce na pozemních komunikacích a zpevněných plochách</t>
  </si>
  <si>
    <t>S</t>
  </si>
  <si>
    <t>Přesuny sutí</t>
  </si>
  <si>
    <t>Celkem:</t>
  </si>
  <si>
    <t>Krycí list slepého rozpočtu</t>
  </si>
  <si>
    <t>IČO/DIČ:</t>
  </si>
  <si>
    <t>Položek:</t>
  </si>
  <si>
    <t>JKSO: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</si>
  <si>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</si>
  <si>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</si>
  <si>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</si>
  <si>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</si>
  <si>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</si>
  <si>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</si>
  <si>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</si>
  <si>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</si>
  <si>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</si>
  <si>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</si>
  <si>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</si>
  <si>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</si>
  <si>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</si>
  <si>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</si>
  <si>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</si>
  <si>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</si>
  <si>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</si>
  <si>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</si>
  <si>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</si>
  <si>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</si>
  <si>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</si>
  <si>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</si>
  <si>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</si>
  <si>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</si>
  <si>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</si>
  <si>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</si>
  <si>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</si>
  <si>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</si>
  <si>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</si>
  <si>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</si>
  <si>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</si>
  <si>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</si>
  <si>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</si>
  <si>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</si>
  <si>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</si>
  <si>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</si>
  <si>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</si>
  <si>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</si>
  <si>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</si>
  <si>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</si>
  <si>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</si>
  <si>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</si>
  <si>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</si>
  <si>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</si>
  <si>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</si>
  <si>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</si>
  <si>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</si>
  <si>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</si>
  <si>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</si>
  <si>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</si>
  <si>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</si>
  <si>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</si>
  <si>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</si>
  <si>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</si>
  <si>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</si>
  <si>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</si>
  <si>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 </t>
  </si>
  <si>
    <t>Č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</si>
  <si>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</si>
  <si>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</si>
  <si>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</si>
  <si>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</si>
  <si>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</si>
  <si>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</si>
  <si>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</si>
  <si>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</si>
  <si>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</si>
  <si>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</si>
  <si>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</si>
  <si>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</si>
  <si>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</si>
  <si>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</si>
  <si>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</si>
  <si>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</si>
  <si>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</si>
  <si>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</si>
  <si>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</si>
  <si>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</si>
  <si>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</si>
  <si>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</si>
  <si>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</si>
  <si>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123118VD</t>
  </si>
  <si>
    <t>Geodetické práce</t>
  </si>
  <si>
    <t>kpl</t>
  </si>
  <si>
    <t>00_</t>
  </si>
  <si>
    <t>0_</t>
  </si>
  <si>
    <t>_</t>
  </si>
  <si>
    <t>vytýčení nových nivelet komunikace</t>
  </si>
  <si>
    <t>2</t>
  </si>
  <si>
    <t>123119VD</t>
  </si>
  <si>
    <t>Fotodokumentace</t>
  </si>
  <si>
    <t>3</t>
  </si>
  <si>
    <t>123140VD</t>
  </si>
  <si>
    <t>Čistění komunikací po dobu výstavby</t>
  </si>
  <si>
    <t>4</t>
  </si>
  <si>
    <t>123171VD</t>
  </si>
  <si>
    <t>Přechodné dopravní značení</t>
  </si>
  <si>
    <t>5</t>
  </si>
  <si>
    <t>123188VD</t>
  </si>
  <si>
    <t>Vytýčení sítí</t>
  </si>
  <si>
    <t>6</t>
  </si>
  <si>
    <t>139601102R00</t>
  </si>
  <si>
    <t>Ruční výkop jam, rýh a šachet v hornině tř. 3</t>
  </si>
  <si>
    <t>m3</t>
  </si>
  <si>
    <t>13_</t>
  </si>
  <si>
    <t>1_</t>
  </si>
  <si>
    <t>pro doplnění obrub v oblouku křižovatky</t>
  </si>
  <si>
    <t>naproti veterině</t>
  </si>
  <si>
    <t>13,0*0,4*0,25</t>
  </si>
  <si>
    <t>7</t>
  </si>
  <si>
    <t>162701105R00</t>
  </si>
  <si>
    <t>Vodorovné přemístění výkopku z hor.1-4 do 10000 m</t>
  </si>
  <si>
    <t>16_</t>
  </si>
  <si>
    <t>8</t>
  </si>
  <si>
    <t>162701109R00</t>
  </si>
  <si>
    <t>Příplatek k vod. přemístění hor.1-4 za další 1 km</t>
  </si>
  <si>
    <t>1,3*6</t>
  </si>
  <si>
    <t>9</t>
  </si>
  <si>
    <t>199000002R00</t>
  </si>
  <si>
    <t>Poplatek za skládku horniny 1- 4, č. dle katal. odpadů 17 05 04</t>
  </si>
  <si>
    <t>19_</t>
  </si>
  <si>
    <t>10</t>
  </si>
  <si>
    <t>113151315R00</t>
  </si>
  <si>
    <t>Fréz.živič.krytu nad 500 m2, s překážkami, tl.6 cm</t>
  </si>
  <si>
    <t>m2</t>
  </si>
  <si>
    <t>11_</t>
  </si>
  <si>
    <t>průměrná tloušťka - vč. zametení</t>
  </si>
  <si>
    <t>Nová</t>
  </si>
  <si>
    <t>205,0*5,85</t>
  </si>
  <si>
    <t>(9,0*6,0)/2</t>
  </si>
  <si>
    <t>(5,0*8,0)/2</t>
  </si>
  <si>
    <t>13,0*12,0</t>
  </si>
  <si>
    <t>(10,5+5,85)/2*4,0</t>
  </si>
  <si>
    <t>Nová - příjezd od České</t>
  </si>
  <si>
    <t>41,5*6,0</t>
  </si>
  <si>
    <t>Česká - Sadová</t>
  </si>
  <si>
    <t>75,0*5,85</t>
  </si>
  <si>
    <t>9,0*3,0</t>
  </si>
  <si>
    <t>výjezd - veterina</t>
  </si>
  <si>
    <t>(20,0+6,5)/2*9,0</t>
  </si>
  <si>
    <t>veterina - pole</t>
  </si>
  <si>
    <t>79,0*6,1+10,0*1,5</t>
  </si>
  <si>
    <t>napojení ČSA</t>
  </si>
  <si>
    <t>105,0*5,0</t>
  </si>
  <si>
    <t>113202111R00</t>
  </si>
  <si>
    <t>Vytrhání obrub obrubníků silničních</t>
  </si>
  <si>
    <t>m</t>
  </si>
  <si>
    <t>12</t>
  </si>
  <si>
    <t>572713112R00</t>
  </si>
  <si>
    <t>Vyrovnání povrchu krytů kamen. obaleným asfaltem</t>
  </si>
  <si>
    <t>t</t>
  </si>
  <si>
    <t>57_</t>
  </si>
  <si>
    <t>5_</t>
  </si>
  <si>
    <t>průměrní tloušťka 2cm</t>
  </si>
  <si>
    <t>3290,85*0,02*2,5</t>
  </si>
  <si>
    <t>573231125R00</t>
  </si>
  <si>
    <t>Postřik spojovací z KAE, množství zbytkového asfaltu 0,5 kg/m2</t>
  </si>
  <si>
    <t>3290,85*2</t>
  </si>
  <si>
    <t>14</t>
  </si>
  <si>
    <t>577141212R00</t>
  </si>
  <si>
    <t>Beton asfalt. ACO 8,ACO 11,ACO 16, do 3 m, tl.5 cm</t>
  </si>
  <si>
    <t>15</t>
  </si>
  <si>
    <t>599141111R00</t>
  </si>
  <si>
    <t>Vyplnění spár  živičnou zálivkou</t>
  </si>
  <si>
    <t>59_</t>
  </si>
  <si>
    <t>13,0+5,85*2+9,0+6,5+5,85+3,0</t>
  </si>
  <si>
    <t>899231111R00</t>
  </si>
  <si>
    <t>Výšková úprava vstupu do 20 cm, zvýšení mříže</t>
  </si>
  <si>
    <t>kus</t>
  </si>
  <si>
    <t>89_</t>
  </si>
  <si>
    <t>8_</t>
  </si>
  <si>
    <t>17</t>
  </si>
  <si>
    <t>899331111R00</t>
  </si>
  <si>
    <t>Výšková úprava vstupu do 20 cm, zvýšení poklopu</t>
  </si>
  <si>
    <t>18</t>
  </si>
  <si>
    <t>899431111R00</t>
  </si>
  <si>
    <t>Výšková úprava do 20 cm, zvýšení krytu šoupěte</t>
  </si>
  <si>
    <t>919735112R00</t>
  </si>
  <si>
    <t>Řezání stávajícího živičného krytu tl. 5 - 10 cm</t>
  </si>
  <si>
    <t>91_</t>
  </si>
  <si>
    <t>9_</t>
  </si>
  <si>
    <t>20</t>
  </si>
  <si>
    <t>917862114RT7</t>
  </si>
  <si>
    <t>Osazení stojatého obrubníku betonového, s boční opěrou, do lože z betonu C 25/30</t>
  </si>
  <si>
    <t>21</t>
  </si>
  <si>
    <t>998225111R00</t>
  </si>
  <si>
    <t>Přesun hmot, pozemní komunikace, kryt živičný</t>
  </si>
  <si>
    <t>22</t>
  </si>
  <si>
    <t>979082213R00</t>
  </si>
  <si>
    <t>Vodorovná doprava suti po suchu do 1 km</t>
  </si>
  <si>
    <t>S_</t>
  </si>
  <si>
    <t>23</t>
  </si>
  <si>
    <t>979082219R00</t>
  </si>
  <si>
    <t>Příplatek za dopravu suti po suchu za další 1 km</t>
  </si>
  <si>
    <t>0,81*2</t>
  </si>
  <si>
    <t>24</t>
  </si>
  <si>
    <t>979999995R00</t>
  </si>
  <si>
    <t>Výkup asfaltového recyklátu</t>
  </si>
  <si>
    <t>25</t>
  </si>
  <si>
    <t>979999981R00</t>
  </si>
  <si>
    <t>Poplatek za recyklaci betonu kusovost do 1600 cm2, čistý (skup.170101)</t>
  </si>
  <si>
    <t>Poplatek za recyklaci asfaltu (skup. 170302) ZAS-T3</t>
  </si>
  <si>
    <t>Beton asfalt. ACO 11, tl.5 cm</t>
  </si>
  <si>
    <t>M. Petrů</t>
  </si>
  <si>
    <t>24099 Bruntál, oprava ulic Nová, Česká</t>
  </si>
  <si>
    <t xml:space="preserve">Město Bruntál </t>
  </si>
  <si>
    <t>IČ 00295892</t>
  </si>
  <si>
    <t>00295892</t>
  </si>
  <si>
    <t>0,81+435,2</t>
  </si>
  <si>
    <t>435,2*15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</si>
</sst>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88">
    <xf numFmtId="0" fontId="0" fillId="0" borderId="0" xfId="0"/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11" xfId="0" applyNumberFormat="1" applyFont="1" applyFill="1" applyBorder="1" applyAlignment="1" applyProtection="1">
      <alignment horizontal="left" vertical="center"/>
    </xf>
    <xf numFmtId="0" fontId="3" fillId="0" borderId="12" xfId="0" applyNumberFormat="1" applyFont="1" applyFill="1" applyBorder="1" applyAlignment="1" applyProtection="1">
      <alignment horizontal="left" vertical="center"/>
    </xf>
    <xf numFmtId="0" fontId="3" fillId="0" borderId="13" xfId="0" applyNumberFormat="1" applyFont="1" applyFill="1" applyBorder="1" applyAlignment="1" applyProtection="1">
      <alignment horizontal="left" vertical="center"/>
    </xf>
    <xf numFmtId="0" fontId="3" fillId="0" borderId="14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4" fontId="2" fillId="0" borderId="16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4" fontId="2" fillId="0" borderId="0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5" fillId="2" borderId="20" xfId="0" applyNumberFormat="1" applyFont="1" applyFill="1" applyBorder="1" applyAlignment="1" applyProtection="1">
      <alignment horizontal="center" vertical="center"/>
    </xf>
    <xf numFmtId="0" fontId="5" fillId="2" borderId="23" xfId="0" applyNumberFormat="1" applyFont="1" applyFill="1" applyBorder="1" applyAlignment="1" applyProtection="1">
      <alignment horizontal="center" vertical="center"/>
    </xf>
    <xf numFmtId="0" fontId="7" fillId="0" borderId="24" xfId="0" applyNumberFormat="1" applyFont="1" applyFill="1" applyBorder="1" applyAlignment="1" applyProtection="1">
      <alignment horizontal="left" vertical="center"/>
    </xf>
    <xf numFmtId="0" fontId="8" fillId="0" borderId="25" xfId="0" applyNumberFormat="1" applyFont="1" applyFill="1" applyBorder="1" applyAlignment="1" applyProtection="1">
      <alignment horizontal="left" vertical="center"/>
    </xf>
    <xf numFmtId="4" fontId="8" fillId="0" borderId="25" xfId="0" applyNumberFormat="1" applyFont="1" applyFill="1" applyBorder="1" applyAlignment="1" applyProtection="1">
      <alignment horizontal="right" vertical="center"/>
    </xf>
    <xf numFmtId="0" fontId="8" fillId="0" borderId="25" xfId="0" applyNumberFormat="1" applyFont="1" applyFill="1" applyBorder="1" applyAlignment="1" applyProtection="1">
      <alignment horizontal="right" vertical="center"/>
    </xf>
    <xf numFmtId="0" fontId="7" fillId="0" borderId="28" xfId="0" applyNumberFormat="1" applyFont="1" applyFill="1" applyBorder="1" applyAlignment="1" applyProtection="1">
      <alignment horizontal="left" vertical="center"/>
    </xf>
    <xf numFmtId="4" fontId="8" fillId="0" borderId="32" xfId="0" applyNumberFormat="1" applyFont="1" applyFill="1" applyBorder="1" applyAlignment="1" applyProtection="1">
      <alignment horizontal="right" vertical="center"/>
    </xf>
    <xf numFmtId="0" fontId="8" fillId="0" borderId="32" xfId="0" applyNumberFormat="1" applyFont="1" applyFill="1" applyBorder="1" applyAlignment="1" applyProtection="1">
      <alignment horizontal="right" vertical="center"/>
    </xf>
    <xf numFmtId="4" fontId="8" fillId="0" borderId="23" xfId="0" applyNumberFormat="1" applyFont="1" applyFill="1" applyBorder="1" applyAlignment="1" applyProtection="1">
      <alignment horizontal="right" vertical="center"/>
    </xf>
    <xf numFmtId="4" fontId="8" fillId="0" borderId="35" xfId="0" applyNumberFormat="1" applyFont="1" applyFill="1" applyBorder="1" applyAlignment="1" applyProtection="1">
      <alignment horizontal="right" vertical="center"/>
    </xf>
    <xf numFmtId="4" fontId="7" fillId="2" borderId="22" xfId="0" applyNumberFormat="1" applyFont="1" applyFill="1" applyBorder="1" applyAlignment="1" applyProtection="1">
      <alignment horizontal="right" vertical="center"/>
    </xf>
    <xf numFmtId="4" fontId="7" fillId="2" borderId="27" xfId="0" applyNumberFormat="1" applyFont="1" applyFill="1" applyBorder="1" applyAlignment="1" applyProtection="1">
      <alignment horizontal="right" vertical="center"/>
    </xf>
    <xf numFmtId="0" fontId="9" fillId="0" borderId="16" xfId="0" applyNumberFormat="1" applyFont="1" applyFill="1" applyBorder="1" applyAlignment="1" applyProtection="1">
      <alignment horizontal="left" vertical="center"/>
    </xf>
    <xf numFmtId="0" fontId="3" fillId="0" borderId="52" xfId="0" applyNumberFormat="1" applyFont="1" applyFill="1" applyBorder="1" applyAlignment="1" applyProtection="1">
      <alignment horizontal="right" vertical="center"/>
    </xf>
    <xf numFmtId="4" fontId="2" fillId="0" borderId="25" xfId="0" applyNumberFormat="1" applyFont="1" applyFill="1" applyBorder="1" applyAlignment="1" applyProtection="1">
      <alignment horizontal="right" vertical="center"/>
    </xf>
    <xf numFmtId="0" fontId="2" fillId="0" borderId="25" xfId="0" applyNumberFormat="1" applyFont="1" applyFill="1" applyBorder="1" applyAlignment="1" applyProtection="1">
      <alignment horizontal="left" vertical="center"/>
    </xf>
    <xf numFmtId="4" fontId="2" fillId="0" borderId="56" xfId="0" applyNumberFormat="1" applyFont="1" applyFill="1" applyBorder="1" applyAlignment="1" applyProtection="1">
      <alignment horizontal="right" vertical="center"/>
    </xf>
    <xf numFmtId="0" fontId="2" fillId="0" borderId="56" xfId="0" applyNumberFormat="1" applyFont="1" applyFill="1" applyBorder="1" applyAlignment="1" applyProtection="1">
      <alignment horizontal="left" vertical="center"/>
    </xf>
    <xf numFmtId="0" fontId="3" fillId="0" borderId="60" xfId="0" applyNumberFormat="1" applyFont="1" applyFill="1" applyBorder="1" applyAlignment="1" applyProtection="1">
      <alignment horizontal="left" vertical="center"/>
    </xf>
    <xf numFmtId="0" fontId="3" fillId="0" borderId="60" xfId="0" applyNumberFormat="1" applyFont="1" applyFill="1" applyBorder="1" applyAlignment="1" applyProtection="1">
      <alignment horizontal="right" vertical="center"/>
    </xf>
    <xf numFmtId="4" fontId="3" fillId="0" borderId="60" xfId="0" applyNumberFormat="1" applyFont="1" applyFill="1" applyBorder="1" applyAlignment="1" applyProtection="1">
      <alignment horizontal="right" vertical="center"/>
    </xf>
    <xf numFmtId="4" fontId="3" fillId="2" borderId="0" xfId="0" applyNumberFormat="1" applyFont="1" applyFill="1" applyBorder="1" applyAlignment="1" applyProtection="1">
      <alignment horizontal="right" vertical="center"/>
    </xf>
    <xf numFmtId="0" fontId="3" fillId="0" borderId="62" xfId="0" applyNumberFormat="1" applyFont="1" applyFill="1" applyBorder="1" applyAlignment="1" applyProtection="1">
      <alignment horizontal="left" vertical="center"/>
    </xf>
    <xf numFmtId="0" fontId="3" fillId="0" borderId="63" xfId="0" applyNumberFormat="1" applyFont="1" applyFill="1" applyBorder="1" applyAlignment="1" applyProtection="1">
      <alignment horizontal="left" vertical="center"/>
    </xf>
    <xf numFmtId="0" fontId="3" fillId="0" borderId="63" xfId="0" applyNumberFormat="1" applyFont="1" applyFill="1" applyBorder="1" applyAlignment="1" applyProtection="1">
      <alignment horizontal="center" vertical="center"/>
    </xf>
    <xf numFmtId="0" fontId="0" fillId="0" borderId="68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2" fillId="0" borderId="69" xfId="0" applyNumberFormat="1" applyFont="1" applyFill="1" applyBorder="1" applyAlignment="1" applyProtection="1">
      <alignment horizontal="left" vertical="center"/>
    </xf>
    <xf numFmtId="0" fontId="2" fillId="0" borderId="70" xfId="0" applyNumberFormat="1" applyFont="1" applyFill="1" applyBorder="1" applyAlignment="1" applyProtection="1">
      <alignment horizontal="left" vertical="center"/>
    </xf>
    <xf numFmtId="0" fontId="0" fillId="0" borderId="6" xfId="0" applyNumberFormat="1" applyFont="1" applyFill="1" applyBorder="1" applyAlignment="1" applyProtection="1"/>
    <xf numFmtId="0" fontId="2" fillId="2" borderId="15" xfId="0" applyNumberFormat="1" applyFont="1" applyFill="1" applyBorder="1" applyAlignment="1" applyProtection="1">
      <alignment horizontal="left" vertical="center"/>
    </xf>
    <xf numFmtId="0" fontId="2" fillId="2" borderId="16" xfId="0" applyNumberFormat="1" applyFont="1" applyFill="1" applyBorder="1" applyAlignment="1" applyProtection="1">
      <alignment horizontal="left" vertical="center"/>
    </xf>
    <xf numFmtId="0" fontId="0" fillId="0" borderId="5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4" fontId="10" fillId="0" borderId="0" xfId="0" applyNumberFormat="1" applyFont="1" applyFill="1" applyBorder="1" applyAlignment="1" applyProtection="1">
      <alignment horizontal="right" vertical="center"/>
    </xf>
    <xf numFmtId="0" fontId="2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4" fontId="2" fillId="0" borderId="9" xfId="0" applyNumberFormat="1" applyFont="1" applyFill="1" applyBorder="1" applyAlignment="1" applyProtection="1">
      <alignment horizontal="right" vertical="center"/>
    </xf>
    <xf numFmtId="0" fontId="0" fillId="0" borderId="18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0" fillId="0" borderId="0" xfId="0" applyProtection="1">
      <protection locked="0"/>
    </xf>
    <xf numFmtId="4" fontId="3" fillId="2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66" xfId="0" applyNumberFormat="1" applyFont="1" applyFill="1" applyBorder="1" applyAlignment="1" applyProtection="1">
      <alignment horizontal="center" vertical="center"/>
      <protection locked="0"/>
    </xf>
    <xf numFmtId="0" fontId="3" fillId="0" borderId="67" xfId="0" applyNumberFormat="1" applyFont="1" applyFill="1" applyBorder="1" applyAlignment="1" applyProtection="1">
      <alignment horizontal="center" vertical="center"/>
      <protection locked="0"/>
    </xf>
    <xf numFmtId="0" fontId="3" fillId="0" borderId="70" xfId="0" applyNumberFormat="1" applyFont="1" applyFill="1" applyBorder="1" applyAlignment="1" applyProtection="1">
      <alignment horizontal="center" vertical="center"/>
      <protection locked="0"/>
    </xf>
    <xf numFmtId="0" fontId="3" fillId="0" borderId="73" xfId="0" applyNumberFormat="1" applyFont="1" applyFill="1" applyBorder="1" applyAlignment="1" applyProtection="1">
      <alignment horizontal="center" vertical="center"/>
      <protection locked="0"/>
    </xf>
    <xf numFmtId="0" fontId="2" fillId="2" borderId="16" xfId="0" applyNumberFormat="1" applyFont="1" applyFill="1" applyBorder="1" applyAlignment="1" applyProtection="1">
      <alignment horizontal="left" vertical="center"/>
      <protection locked="0"/>
    </xf>
    <xf numFmtId="4" fontId="3" fillId="2" borderId="16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NumberFormat="1" applyFont="1" applyFill="1" applyBorder="1" applyAlignment="1" applyProtection="1">
      <alignment horizontal="left" vertical="center"/>
      <protection locked="0"/>
    </xf>
    <xf numFmtId="4" fontId="2" fillId="0" borderId="9" xfId="0" applyNumberFormat="1" applyFont="1" applyFill="1" applyBorder="1" applyAlignment="1" applyProtection="1">
      <alignment horizontal="right" vertical="center"/>
      <protection locked="0"/>
    </xf>
    <xf numFmtId="4" fontId="3" fillId="0" borderId="74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/>
    <xf numFmtId="0" fontId="1" fillId="0" borderId="1" xfId="0" applyNumberFormat="1" applyFont="1" applyFill="1" applyBorder="1" applyAlignment="1" applyProtection="1">
      <alignment vertical="center"/>
      <protection locked="0"/>
    </xf>
    <xf numFmtId="0" fontId="1" fillId="0" borderId="1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2" fillId="0" borderId="53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3" fillId="2" borderId="16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2" fillId="0" borderId="9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2" fillId="0" borderId="6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left" vertical="center"/>
    </xf>
    <xf numFmtId="49" fontId="2" fillId="0" borderId="6" xfId="0" applyNumberFormat="1" applyFont="1" applyFill="1" applyBorder="1" applyAlignment="1" applyProtection="1">
      <alignment horizontal="left" vertical="center"/>
    </xf>
    <xf numFmtId="1" fontId="2" fillId="0" borderId="6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4" fillId="0" borderId="19" xfId="0" applyNumberFormat="1" applyFont="1" applyFill="1" applyBorder="1" applyAlignment="1" applyProtection="1">
      <alignment horizontal="center" vertical="center"/>
    </xf>
    <xf numFmtId="0" fontId="6" fillId="0" borderId="21" xfId="0" applyNumberFormat="1" applyFont="1" applyFill="1" applyBorder="1" applyAlignment="1" applyProtection="1">
      <alignment horizontal="left" vertical="center"/>
    </xf>
    <xf numFmtId="0" fontId="6" fillId="0" borderId="22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7" fillId="0" borderId="29" xfId="0" applyNumberFormat="1" applyFont="1" applyFill="1" applyBorder="1" applyAlignment="1" applyProtection="1">
      <alignment horizontal="left" vertical="center"/>
    </xf>
    <xf numFmtId="0" fontId="7" fillId="0" borderId="27" xfId="0" applyNumberFormat="1" applyFont="1" applyFill="1" applyBorder="1" applyAlignment="1" applyProtection="1">
      <alignment horizontal="left" vertical="center"/>
    </xf>
    <xf numFmtId="0" fontId="7" fillId="0" borderId="30" xfId="0" applyNumberFormat="1" applyFont="1" applyFill="1" applyBorder="1" applyAlignment="1" applyProtection="1">
      <alignment horizontal="left" vertical="center"/>
    </xf>
    <xf numFmtId="0" fontId="7" fillId="0" borderId="31" xfId="0" applyNumberFormat="1" applyFont="1" applyFill="1" applyBorder="1" applyAlignment="1" applyProtection="1">
      <alignment horizontal="left" vertical="center"/>
    </xf>
    <xf numFmtId="0" fontId="7" fillId="0" borderId="34" xfId="0" applyNumberFormat="1" applyFont="1" applyFill="1" applyBorder="1" applyAlignment="1" applyProtection="1">
      <alignment horizontal="left" vertical="center"/>
    </xf>
    <xf numFmtId="0" fontId="7" fillId="0" borderId="22" xfId="0" applyNumberFormat="1" applyFont="1" applyFill="1" applyBorder="1" applyAlignment="1" applyProtection="1">
      <alignment horizontal="left" vertical="center"/>
    </xf>
    <xf numFmtId="0" fontId="8" fillId="0" borderId="26" xfId="0" applyNumberFormat="1" applyFont="1" applyFill="1" applyBorder="1" applyAlignment="1" applyProtection="1">
      <alignment horizontal="left" vertical="center"/>
    </xf>
    <xf numFmtId="0" fontId="8" fillId="0" borderId="27" xfId="0" applyNumberFormat="1" applyFont="1" applyFill="1" applyBorder="1" applyAlignment="1" applyProtection="1">
      <alignment horizontal="left" vertical="center"/>
    </xf>
    <xf numFmtId="0" fontId="8" fillId="0" borderId="33" xfId="0" applyNumberFormat="1" applyFont="1" applyFill="1" applyBorder="1" applyAlignment="1" applyProtection="1">
      <alignment horizontal="left" vertical="center"/>
    </xf>
    <xf numFmtId="0" fontId="8" fillId="0" borderId="31" xfId="0" applyNumberFormat="1" applyFont="1" applyFill="1" applyBorder="1" applyAlignment="1" applyProtection="1">
      <alignment horizontal="left" vertical="center"/>
    </xf>
    <xf numFmtId="0" fontId="7" fillId="0" borderId="21" xfId="0" applyNumberFormat="1" applyFont="1" applyFill="1" applyBorder="1" applyAlignment="1" applyProtection="1">
      <alignment horizontal="left" vertical="center"/>
    </xf>
    <xf numFmtId="0" fontId="7" fillId="0" borderId="26" xfId="0" applyNumberFormat="1" applyFont="1" applyFill="1" applyBorder="1" applyAlignment="1" applyProtection="1">
      <alignment horizontal="left" vertical="center"/>
    </xf>
    <xf numFmtId="0" fontId="7" fillId="2" borderId="34" xfId="0" applyNumberFormat="1" applyFont="1" applyFill="1" applyBorder="1" applyAlignment="1" applyProtection="1">
      <alignment horizontal="left" vertical="center"/>
    </xf>
    <xf numFmtId="0" fontId="7" fillId="2" borderId="36" xfId="0" applyNumberFormat="1" applyFont="1" applyFill="1" applyBorder="1" applyAlignment="1" applyProtection="1">
      <alignment horizontal="left" vertical="center"/>
    </xf>
    <xf numFmtId="0" fontId="7" fillId="2" borderId="29" xfId="0" applyNumberFormat="1" applyFont="1" applyFill="1" applyBorder="1" applyAlignment="1" applyProtection="1">
      <alignment horizontal="left" vertical="center"/>
    </xf>
    <xf numFmtId="0" fontId="7" fillId="2" borderId="37" xfId="0" applyNumberFormat="1" applyFont="1" applyFill="1" applyBorder="1" applyAlignment="1" applyProtection="1">
      <alignment horizontal="left" vertical="center"/>
    </xf>
    <xf numFmtId="0" fontId="7" fillId="2" borderId="21" xfId="0" applyNumberFormat="1" applyFont="1" applyFill="1" applyBorder="1" applyAlignment="1" applyProtection="1">
      <alignment horizontal="left" vertical="center"/>
    </xf>
    <xf numFmtId="0" fontId="7" fillId="2" borderId="26" xfId="0" applyNumberFormat="1" applyFont="1" applyFill="1" applyBorder="1" applyAlignment="1" applyProtection="1">
      <alignment horizontal="left" vertical="center"/>
    </xf>
    <xf numFmtId="0" fontId="8" fillId="0" borderId="41" xfId="0" applyNumberFormat="1" applyFont="1" applyFill="1" applyBorder="1" applyAlignment="1" applyProtection="1">
      <alignment horizontal="left" vertical="center"/>
    </xf>
    <xf numFmtId="0" fontId="8" fillId="0" borderId="39" xfId="0" applyNumberFormat="1" applyFont="1" applyFill="1" applyBorder="1" applyAlignment="1" applyProtection="1">
      <alignment horizontal="left" vertical="center"/>
    </xf>
    <xf numFmtId="0" fontId="8" fillId="0" borderId="40" xfId="0" applyNumberFormat="1" applyFont="1" applyFill="1" applyBorder="1" applyAlignment="1" applyProtection="1">
      <alignment horizontal="left" vertical="center"/>
    </xf>
    <xf numFmtId="0" fontId="8" fillId="0" borderId="44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43" xfId="0" applyNumberFormat="1" applyFont="1" applyFill="1" applyBorder="1" applyAlignment="1" applyProtection="1">
      <alignment horizontal="left" vertical="center"/>
    </xf>
    <xf numFmtId="0" fontId="8" fillId="0" borderId="48" xfId="0" applyNumberFormat="1" applyFont="1" applyFill="1" applyBorder="1" applyAlignment="1" applyProtection="1">
      <alignment horizontal="left" vertical="center"/>
    </xf>
    <xf numFmtId="0" fontId="8" fillId="0" borderId="46" xfId="0" applyNumberFormat="1" applyFont="1" applyFill="1" applyBorder="1" applyAlignment="1" applyProtection="1">
      <alignment horizontal="left" vertical="center"/>
    </xf>
    <xf numFmtId="0" fontId="8" fillId="0" borderId="47" xfId="0" applyNumberFormat="1" applyFont="1" applyFill="1" applyBorder="1" applyAlignment="1" applyProtection="1">
      <alignment horizontal="left" vertical="center"/>
    </xf>
    <xf numFmtId="0" fontId="8" fillId="0" borderId="38" xfId="0" applyNumberFormat="1" applyFont="1" applyFill="1" applyBorder="1" applyAlignment="1" applyProtection="1">
      <alignment horizontal="left" vertical="center"/>
    </xf>
    <xf numFmtId="0" fontId="8" fillId="0" borderId="42" xfId="0" applyNumberFormat="1" applyFont="1" applyFill="1" applyBorder="1" applyAlignment="1" applyProtection="1">
      <alignment horizontal="left" vertical="center"/>
    </xf>
    <xf numFmtId="0" fontId="8" fillId="0" borderId="45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left" vertical="center"/>
    </xf>
    <xf numFmtId="0" fontId="7" fillId="0" borderId="8" xfId="0" applyNumberFormat="1" applyFont="1" applyFill="1" applyBorder="1" applyAlignment="1" applyProtection="1">
      <alignment horizontal="left" vertical="center"/>
    </xf>
    <xf numFmtId="0" fontId="3" fillId="0" borderId="49" xfId="0" applyNumberFormat="1" applyFont="1" applyFill="1" applyBorder="1" applyAlignment="1" applyProtection="1">
      <alignment horizontal="left" vertical="center"/>
    </xf>
    <xf numFmtId="0" fontId="3" fillId="0" borderId="50" xfId="0" applyNumberFormat="1" applyFont="1" applyFill="1" applyBorder="1" applyAlignment="1" applyProtection="1">
      <alignment horizontal="left" vertical="center"/>
    </xf>
    <xf numFmtId="0" fontId="3" fillId="0" borderId="51" xfId="0" applyNumberFormat="1" applyFont="1" applyFill="1" applyBorder="1" applyAlignment="1" applyProtection="1">
      <alignment horizontal="left" vertical="center"/>
    </xf>
    <xf numFmtId="0" fontId="2" fillId="0" borderId="29" xfId="0" applyNumberFormat="1" applyFont="1" applyFill="1" applyBorder="1" applyAlignment="1" applyProtection="1">
      <alignment horizontal="left" vertical="center"/>
    </xf>
    <xf numFmtId="0" fontId="2" fillId="0" borderId="37" xfId="0" applyNumberFormat="1" applyFont="1" applyFill="1" applyBorder="1" applyAlignment="1" applyProtection="1">
      <alignment horizontal="left" vertical="center"/>
    </xf>
    <xf numFmtId="0" fontId="2" fillId="0" borderId="27" xfId="0" applyNumberFormat="1" applyFont="1" applyFill="1" applyBorder="1" applyAlignment="1" applyProtection="1">
      <alignment horizontal="left" vertical="center"/>
    </xf>
    <xf numFmtId="0" fontId="2" fillId="0" borderId="53" xfId="0" applyNumberFormat="1" applyFont="1" applyFill="1" applyBorder="1" applyAlignment="1" applyProtection="1">
      <alignment horizontal="left" vertical="center"/>
    </xf>
    <xf numFmtId="0" fontId="2" fillId="0" borderId="54" xfId="0" applyNumberFormat="1" applyFont="1" applyFill="1" applyBorder="1" applyAlignment="1" applyProtection="1">
      <alignment horizontal="left" vertical="center"/>
    </xf>
    <xf numFmtId="0" fontId="2" fillId="0" borderId="55" xfId="0" applyNumberFormat="1" applyFont="1" applyFill="1" applyBorder="1" applyAlignment="1" applyProtection="1">
      <alignment horizontal="left" vertical="center"/>
    </xf>
    <xf numFmtId="0" fontId="3" fillId="0" borderId="57" xfId="0" applyNumberFormat="1" applyFont="1" applyFill="1" applyBorder="1" applyAlignment="1" applyProtection="1">
      <alignment horizontal="left" vertical="center"/>
    </xf>
    <xf numFmtId="0" fontId="3" fillId="0" borderId="58" xfId="0" applyNumberFormat="1" applyFont="1" applyFill="1" applyBorder="1" applyAlignment="1" applyProtection="1">
      <alignment horizontal="left" vertical="center"/>
    </xf>
    <xf numFmtId="0" fontId="3" fillId="0" borderId="59" xfId="0" applyNumberFormat="1" applyFont="1" applyFill="1" applyBorder="1" applyAlignment="1" applyProtection="1">
      <alignment horizontal="left" vertical="center"/>
    </xf>
    <xf numFmtId="0" fontId="7" fillId="0" borderId="57" xfId="0" applyNumberFormat="1" applyFont="1" applyFill="1" applyBorder="1" applyAlignment="1" applyProtection="1">
      <alignment horizontal="left" vertical="center"/>
    </xf>
    <xf numFmtId="0" fontId="7" fillId="0" borderId="58" xfId="0" applyNumberFormat="1" applyFont="1" applyFill="1" applyBorder="1" applyAlignment="1" applyProtection="1">
      <alignment horizontal="left" vertical="center"/>
    </xf>
    <xf numFmtId="0" fontId="7" fillId="0" borderId="59" xfId="0" applyNumberFormat="1" applyFont="1" applyFill="1" applyBorder="1" applyAlignment="1" applyProtection="1">
      <alignment horizontal="left" vertical="center"/>
    </xf>
    <xf numFmtId="4" fontId="7" fillId="0" borderId="61" xfId="0" applyNumberFormat="1" applyFont="1" applyFill="1" applyBorder="1" applyAlignment="1" applyProtection="1">
      <alignment horizontal="right" vertical="center"/>
    </xf>
    <xf numFmtId="0" fontId="7" fillId="0" borderId="58" xfId="0" applyNumberFormat="1" applyFont="1" applyFill="1" applyBorder="1" applyAlignment="1" applyProtection="1">
      <alignment horizontal="right" vertical="center"/>
    </xf>
    <xf numFmtId="0" fontId="7" fillId="0" borderId="59" xfId="0" applyNumberFormat="1" applyFont="1" applyFill="1" applyBorder="1" applyAlignment="1" applyProtection="1">
      <alignment horizontal="right" vertical="center"/>
    </xf>
    <xf numFmtId="0" fontId="2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0" fontId="3" fillId="0" borderId="64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/>
      <protection locked="0"/>
    </xf>
    <xf numFmtId="0" fontId="3" fillId="0" borderId="71" xfId="0" applyNumberFormat="1" applyFont="1" applyFill="1" applyBorder="1" applyAlignment="1" applyProtection="1">
      <alignment horizontal="left" vertical="center"/>
    </xf>
    <xf numFmtId="0" fontId="3" fillId="0" borderId="72" xfId="0" applyNumberFormat="1" applyFont="1" applyFill="1" applyBorder="1" applyAlignment="1" applyProtection="1">
      <alignment horizontal="left" vertical="center"/>
    </xf>
    <xf numFmtId="0" fontId="3" fillId="2" borderId="16" xfId="0" applyNumberFormat="1" applyFont="1" applyFill="1" applyBorder="1" applyAlignment="1" applyProtection="1">
      <alignment horizontal="left" vertical="center" wrapText="1"/>
    </xf>
    <xf numFmtId="0" fontId="3" fillId="2" borderId="16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left" vertical="center"/>
    </xf>
    <xf numFmtId="0" fontId="1" fillId="0" borderId="37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2" fillId="0" borderId="74" xfId="0" applyNumberFormat="1" applyFont="1" applyFill="1" applyBorder="1" applyAlignment="1" applyProtection="1">
      <alignment horizontal="left" vertical="center"/>
    </xf>
    <xf numFmtId="0" fontId="2" fillId="0" borderId="74" xfId="0" applyNumberFormat="1" applyFont="1" applyFill="1" applyBorder="1" applyAlignment="1" applyProtection="1">
      <alignment horizontal="left" vertical="center" wrapText="1"/>
    </xf>
    <xf numFmtId="4" fontId="2" fillId="0" borderId="74" xfId="0" applyNumberFormat="1" applyFont="1" applyFill="1" applyBorder="1" applyAlignment="1" applyProtection="1">
      <alignment horizontal="right" vertical="center"/>
    </xf>
    <xf numFmtId="4" fontId="2" fillId="0" borderId="74" xfId="0" applyNumberFormat="1" applyFont="1" applyFill="1" applyBorder="1" applyAlignment="1" applyProtection="1">
      <alignment horizontal="right" vertical="center"/>
      <protection locked="0"/>
    </xf>
    <xf numFmtId="0" fontId="3" fillId="2" borderId="74" xfId="0" applyNumberFormat="1" applyFont="1" applyFill="1" applyBorder="1" applyAlignment="1" applyProtection="1">
      <alignment horizontal="right" vertical="center"/>
    </xf>
    <xf numFmtId="0" fontId="2" fillId="0" borderId="74" xfId="0" applyNumberFormat="1" applyFont="1" applyFill="1" applyBorder="1" applyAlignment="1" applyProtection="1">
      <alignment horizontal="right" vertical="center"/>
    </xf>
    <xf numFmtId="0" fontId="0" fillId="0" borderId="53" xfId="0" applyNumberFormat="1" applyFont="1" applyFill="1" applyBorder="1" applyAlignment="1" applyProtection="1"/>
    <xf numFmtId="0" fontId="10" fillId="0" borderId="74" xfId="0" applyNumberFormat="1" applyFont="1" applyFill="1" applyBorder="1" applyAlignment="1" applyProtection="1">
      <alignment horizontal="left" vertical="center"/>
    </xf>
    <xf numFmtId="4" fontId="10" fillId="0" borderId="74" xfId="0" applyNumberFormat="1" applyFont="1" applyFill="1" applyBorder="1" applyAlignment="1" applyProtection="1">
      <alignment horizontal="right" vertical="center"/>
    </xf>
    <xf numFmtId="0" fontId="2" fillId="0" borderId="3" xfId="0" applyNumberFormat="1" applyFont="1" applyFill="1" applyBorder="1" applyAlignment="1" applyProtection="1">
      <alignment vertical="center" wrapText="1"/>
    </xf>
    <xf numFmtId="0" fontId="2" fillId="0" borderId="74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74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workbookViewId="0">
      <pane ySplit="11" topLeftCell="A12" activePane="bottomLeft" state="frozen"/>
      <selection pane="bottomLeft" activeCell="E4" sqref="E4:E5"/>
    </sheetView>
  </sheetViews>
  <sheetFormatPr defaultColWidth="12.140625" defaultRowHeight="15" customHeight="1" x14ac:dyDescent="0.25"/>
  <cols>
    <col min="1" max="2" width="8.5703125" customWidth="1"/>
    <col min="3" max="3" width="71.42578125" customWidth="1"/>
    <col min="4" max="6" width="12.140625" customWidth="1"/>
    <col min="7" max="7" width="27.85546875" customWidth="1"/>
    <col min="8" max="9" width="0" hidden="1" customWidth="1"/>
  </cols>
  <sheetData>
    <row r="1" spans="1:9" ht="54.75" customHeight="1" x14ac:dyDescent="0.25">
      <c r="A1" s="82" t="s">
        <v>0</v>
      </c>
      <c r="B1" s="82"/>
      <c r="C1" s="82"/>
      <c r="D1" s="82"/>
      <c r="E1" s="82"/>
      <c r="F1" s="82"/>
      <c r="G1" s="82"/>
    </row>
    <row r="2" spans="1:9" x14ac:dyDescent="0.25">
      <c r="A2" s="83" t="s">
        <v>1</v>
      </c>
      <c r="B2" s="84"/>
      <c r="C2" s="93" t="str">
        <f>'Stavební rozpočet'!D2</f>
        <v>24099 Bruntál, oprava ulic Nová, Česká</v>
      </c>
      <c r="D2" s="84" t="s">
        <v>2</v>
      </c>
      <c r="E2" s="84" t="s">
        <v>3</v>
      </c>
      <c r="F2" s="91" t="s">
        <v>4</v>
      </c>
      <c r="G2" s="95" t="str">
        <f>'Stavební rozpočet'!J2</f>
        <v xml:space="preserve">Město Bruntál </v>
      </c>
    </row>
    <row r="3" spans="1:9" ht="15" customHeight="1" x14ac:dyDescent="0.25">
      <c r="A3" s="85"/>
      <c r="B3" s="86"/>
      <c r="C3" s="94"/>
      <c r="D3" s="86"/>
      <c r="E3" s="86"/>
      <c r="F3" s="86"/>
      <c r="G3" s="96"/>
    </row>
    <row r="4" spans="1:9" x14ac:dyDescent="0.25">
      <c r="A4" s="87" t="s">
        <v>5</v>
      </c>
      <c r="B4" s="86"/>
      <c r="C4" s="92" t="str">
        <f>'Stavební rozpočet'!D4</f>
        <v xml:space="preserve"> </v>
      </c>
      <c r="D4" s="86" t="s">
        <v>6</v>
      </c>
      <c r="E4" s="86"/>
      <c r="F4" s="92" t="s">
        <v>8</v>
      </c>
      <c r="G4" s="97" t="str">
        <f>'Stavební rozpočet'!J4</f>
        <v> </v>
      </c>
    </row>
    <row r="5" spans="1:9" ht="15" customHeight="1" x14ac:dyDescent="0.25">
      <c r="A5" s="85"/>
      <c r="B5" s="86"/>
      <c r="C5" s="86"/>
      <c r="D5" s="86"/>
      <c r="E5" s="86"/>
      <c r="F5" s="86"/>
      <c r="G5" s="96"/>
    </row>
    <row r="6" spans="1:9" x14ac:dyDescent="0.25">
      <c r="A6" s="87" t="s">
        <v>9</v>
      </c>
      <c r="B6" s="86"/>
      <c r="C6" s="92" t="str">
        <f>'Stavební rozpočet'!D6</f>
        <v xml:space="preserve"> </v>
      </c>
      <c r="D6" s="86" t="s">
        <v>10</v>
      </c>
      <c r="E6" s="86" t="s">
        <v>3</v>
      </c>
      <c r="F6" s="92" t="s">
        <v>11</v>
      </c>
      <c r="G6" s="97" t="str">
        <f>'Stavební rozpočet'!J6</f>
        <v> </v>
      </c>
    </row>
    <row r="7" spans="1:9" ht="15" customHeight="1" x14ac:dyDescent="0.25">
      <c r="A7" s="85"/>
      <c r="B7" s="86"/>
      <c r="C7" s="86"/>
      <c r="D7" s="86"/>
      <c r="E7" s="86"/>
      <c r="F7" s="86"/>
      <c r="G7" s="96"/>
    </row>
    <row r="8" spans="1:9" x14ac:dyDescent="0.25">
      <c r="A8" s="87" t="s">
        <v>12</v>
      </c>
      <c r="B8" s="86"/>
      <c r="C8" s="92" t="str">
        <f>'Stavební rozpočet'!J8</f>
        <v>M. Petrů</v>
      </c>
      <c r="D8" s="86" t="s">
        <v>13</v>
      </c>
      <c r="E8" s="86" t="s">
        <v>7</v>
      </c>
      <c r="F8" s="86" t="s">
        <v>13</v>
      </c>
      <c r="G8" s="97" t="str">
        <f>'Stavební rozpočet'!H8</f>
        <v>18.06.2024</v>
      </c>
    </row>
    <row r="9" spans="1:9" x14ac:dyDescent="0.25">
      <c r="A9" s="88"/>
      <c r="B9" s="89"/>
      <c r="C9" s="89"/>
      <c r="D9" s="90"/>
      <c r="E9" s="90"/>
      <c r="F9" s="90"/>
      <c r="G9" s="98"/>
    </row>
    <row r="10" spans="1:9" x14ac:dyDescent="0.25">
      <c r="A10" s="4" t="s">
        <v>14</v>
      </c>
      <c r="B10" s="5" t="s">
        <v>15</v>
      </c>
      <c r="C10" s="6" t="s">
        <v>16</v>
      </c>
      <c r="G10" s="7" t="s">
        <v>17</v>
      </c>
    </row>
    <row r="11" spans="1:9" x14ac:dyDescent="0.25">
      <c r="A11" s="8" t="s">
        <v>18</v>
      </c>
      <c r="B11" s="9" t="s">
        <v>19</v>
      </c>
      <c r="C11" s="86" t="s">
        <v>20</v>
      </c>
      <c r="D11" s="86"/>
      <c r="E11" s="86"/>
      <c r="F11" s="86"/>
      <c r="G11" s="10">
        <f>ROUND('Stavební rozpočet'!I12,2)</f>
        <v>0</v>
      </c>
      <c r="H11" s="11" t="s">
        <v>21</v>
      </c>
      <c r="I11" s="12">
        <f t="shared" ref="I11:I20" si="0">IF(H11="F",0,G11)</f>
        <v>0</v>
      </c>
    </row>
    <row r="12" spans="1:9" x14ac:dyDescent="0.25">
      <c r="A12" s="1" t="s">
        <v>18</v>
      </c>
      <c r="B12" s="2" t="s">
        <v>22</v>
      </c>
      <c r="C12" s="86" t="s">
        <v>23</v>
      </c>
      <c r="D12" s="86"/>
      <c r="E12" s="86"/>
      <c r="F12" s="86"/>
      <c r="G12" s="12">
        <f>ROUND('Stavební rozpočet'!I20,2)</f>
        <v>0</v>
      </c>
      <c r="H12" s="11" t="s">
        <v>21</v>
      </c>
      <c r="I12" s="12">
        <f t="shared" si="0"/>
        <v>0</v>
      </c>
    </row>
    <row r="13" spans="1:9" x14ac:dyDescent="0.25">
      <c r="A13" s="1" t="s">
        <v>18</v>
      </c>
      <c r="B13" s="2" t="s">
        <v>24</v>
      </c>
      <c r="C13" s="86" t="s">
        <v>25</v>
      </c>
      <c r="D13" s="86"/>
      <c r="E13" s="86"/>
      <c r="F13" s="86"/>
      <c r="G13" s="12">
        <f>ROUND('Stavební rozpočet'!I25,2)</f>
        <v>0</v>
      </c>
      <c r="H13" s="11" t="s">
        <v>21</v>
      </c>
      <c r="I13" s="12">
        <f t="shared" si="0"/>
        <v>0</v>
      </c>
    </row>
    <row r="14" spans="1:9" x14ac:dyDescent="0.25">
      <c r="A14" s="1" t="s">
        <v>18</v>
      </c>
      <c r="B14" s="2" t="s">
        <v>26</v>
      </c>
      <c r="C14" s="86" t="s">
        <v>27</v>
      </c>
      <c r="D14" s="86"/>
      <c r="E14" s="86"/>
      <c r="F14" s="86"/>
      <c r="G14" s="12">
        <f>ROUND('Stavební rozpočet'!I29,2)</f>
        <v>0</v>
      </c>
      <c r="H14" s="11" t="s">
        <v>21</v>
      </c>
      <c r="I14" s="12">
        <f t="shared" si="0"/>
        <v>0</v>
      </c>
    </row>
    <row r="15" spans="1:9" x14ac:dyDescent="0.25">
      <c r="A15" s="1" t="s">
        <v>18</v>
      </c>
      <c r="B15" s="2" t="s">
        <v>28</v>
      </c>
      <c r="C15" s="86" t="s">
        <v>29</v>
      </c>
      <c r="D15" s="86"/>
      <c r="E15" s="86"/>
      <c r="F15" s="86"/>
      <c r="G15" s="12">
        <f>ROUND('Stavební rozpočet'!I31,2)</f>
        <v>0</v>
      </c>
      <c r="H15" s="11" t="s">
        <v>21</v>
      </c>
      <c r="I15" s="12">
        <f t="shared" si="0"/>
        <v>0</v>
      </c>
    </row>
    <row r="16" spans="1:9" x14ac:dyDescent="0.25">
      <c r="A16" s="1" t="s">
        <v>18</v>
      </c>
      <c r="B16" s="2" t="s">
        <v>30</v>
      </c>
      <c r="C16" s="86" t="s">
        <v>31</v>
      </c>
      <c r="D16" s="86"/>
      <c r="E16" s="86"/>
      <c r="F16" s="86"/>
      <c r="G16" s="12">
        <f>ROUND('Stavební rozpočet'!I52,2)</f>
        <v>0</v>
      </c>
      <c r="H16" s="11" t="s">
        <v>21</v>
      </c>
      <c r="I16" s="12">
        <f t="shared" si="0"/>
        <v>0</v>
      </c>
    </row>
    <row r="17" spans="1:9" x14ac:dyDescent="0.25">
      <c r="A17" s="1" t="s">
        <v>18</v>
      </c>
      <c r="B17" s="2" t="s">
        <v>32</v>
      </c>
      <c r="C17" s="86" t="s">
        <v>33</v>
      </c>
      <c r="D17" s="86"/>
      <c r="E17" s="86"/>
      <c r="F17" s="86"/>
      <c r="G17" s="12">
        <f>ROUND('Stavební rozpočet'!I59,2)</f>
        <v>0</v>
      </c>
      <c r="H17" s="11" t="s">
        <v>21</v>
      </c>
      <c r="I17" s="12">
        <f t="shared" si="0"/>
        <v>0</v>
      </c>
    </row>
    <row r="18" spans="1:9" x14ac:dyDescent="0.25">
      <c r="A18" s="1" t="s">
        <v>18</v>
      </c>
      <c r="B18" s="2" t="s">
        <v>34</v>
      </c>
      <c r="C18" s="86" t="s">
        <v>35</v>
      </c>
      <c r="D18" s="86"/>
      <c r="E18" s="86"/>
      <c r="F18" s="86"/>
      <c r="G18" s="12">
        <f>ROUND('Stavební rozpočet'!I62,2)</f>
        <v>0</v>
      </c>
      <c r="H18" s="11" t="s">
        <v>21</v>
      </c>
      <c r="I18" s="12">
        <f t="shared" si="0"/>
        <v>0</v>
      </c>
    </row>
    <row r="19" spans="1:9" x14ac:dyDescent="0.25">
      <c r="A19" s="1" t="s">
        <v>18</v>
      </c>
      <c r="B19" s="2" t="s">
        <v>36</v>
      </c>
      <c r="C19" s="86" t="s">
        <v>37</v>
      </c>
      <c r="D19" s="86"/>
      <c r="E19" s="86"/>
      <c r="F19" s="86"/>
      <c r="G19" s="12">
        <f>ROUND('Stavební rozpočet'!I66,2)</f>
        <v>0</v>
      </c>
      <c r="H19" s="11" t="s">
        <v>21</v>
      </c>
      <c r="I19" s="12">
        <f t="shared" si="0"/>
        <v>0</v>
      </c>
    </row>
    <row r="20" spans="1:9" x14ac:dyDescent="0.25">
      <c r="A20" s="1" t="s">
        <v>18</v>
      </c>
      <c r="B20" s="2" t="s">
        <v>38</v>
      </c>
      <c r="C20" s="86" t="s">
        <v>39</v>
      </c>
      <c r="D20" s="86"/>
      <c r="E20" s="86"/>
      <c r="F20" s="86"/>
      <c r="G20" s="12">
        <f>ROUND('Stavební rozpočet'!I70,2)</f>
        <v>0</v>
      </c>
      <c r="H20" s="11" t="s">
        <v>21</v>
      </c>
      <c r="I20" s="12">
        <f t="shared" si="0"/>
        <v>0</v>
      </c>
    </row>
    <row r="21" spans="1:9" x14ac:dyDescent="0.25">
      <c r="F21" s="3" t="s">
        <v>40</v>
      </c>
      <c r="G21" s="13">
        <f>ROUND(SUM(I11:I20),2)</f>
        <v>0</v>
      </c>
    </row>
  </sheetData>
  <mergeCells count="35">
    <mergeCell ref="C17:F17"/>
    <mergeCell ref="C18:F18"/>
    <mergeCell ref="C19:F19"/>
    <mergeCell ref="C20:F20"/>
    <mergeCell ref="C12:F12"/>
    <mergeCell ref="C13:F13"/>
    <mergeCell ref="C14:F14"/>
    <mergeCell ref="C15:F15"/>
    <mergeCell ref="C16:F16"/>
    <mergeCell ref="G2:G3"/>
    <mergeCell ref="G4:G5"/>
    <mergeCell ref="G6:G7"/>
    <mergeCell ref="G8:G9"/>
    <mergeCell ref="C11:F11"/>
    <mergeCell ref="C8:C9"/>
    <mergeCell ref="E2:E3"/>
    <mergeCell ref="E4:E5"/>
    <mergeCell ref="E6:E7"/>
    <mergeCell ref="E8:E9"/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I6" sqref="I6:I7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99" t="s">
        <v>41</v>
      </c>
      <c r="B1" s="82"/>
      <c r="C1" s="82"/>
      <c r="D1" s="82"/>
      <c r="E1" s="82"/>
      <c r="F1" s="82"/>
      <c r="G1" s="82"/>
      <c r="H1" s="82"/>
      <c r="I1" s="82"/>
    </row>
    <row r="2" spans="1:9" x14ac:dyDescent="0.25">
      <c r="A2" s="83" t="s">
        <v>1</v>
      </c>
      <c r="B2" s="84"/>
      <c r="C2" s="93" t="str">
        <f>'Stavební rozpočet'!D2</f>
        <v>24099 Bruntál, oprava ulic Nová, Česká</v>
      </c>
      <c r="D2" s="103"/>
      <c r="E2" s="91" t="s">
        <v>4</v>
      </c>
      <c r="F2" s="91" t="str">
        <f>'Stavební rozpočet'!J2</f>
        <v xml:space="preserve">Město Bruntál </v>
      </c>
      <c r="G2" s="84"/>
      <c r="H2" s="91" t="s">
        <v>42</v>
      </c>
      <c r="I2" s="100" t="s">
        <v>252</v>
      </c>
    </row>
    <row r="3" spans="1:9" ht="15" customHeight="1" x14ac:dyDescent="0.25">
      <c r="A3" s="85"/>
      <c r="B3" s="86"/>
      <c r="C3" s="94"/>
      <c r="D3" s="94"/>
      <c r="E3" s="86"/>
      <c r="F3" s="86"/>
      <c r="G3" s="86"/>
      <c r="H3" s="86"/>
      <c r="I3" s="101"/>
    </row>
    <row r="4" spans="1:9" x14ac:dyDescent="0.25">
      <c r="A4" s="87" t="s">
        <v>5</v>
      </c>
      <c r="B4" s="86"/>
      <c r="C4" s="92" t="str">
        <f>'Stavební rozpočet'!D4</f>
        <v xml:space="preserve"> </v>
      </c>
      <c r="D4" s="86"/>
      <c r="E4" s="92" t="s">
        <v>8</v>
      </c>
      <c r="F4" s="92" t="str">
        <f>'Stavební rozpočet'!J4</f>
        <v> </v>
      </c>
      <c r="G4" s="86"/>
      <c r="H4" s="92" t="s">
        <v>42</v>
      </c>
      <c r="I4" s="96" t="s">
        <v>18</v>
      </c>
    </row>
    <row r="5" spans="1:9" ht="15" customHeight="1" x14ac:dyDescent="0.25">
      <c r="A5" s="85"/>
      <c r="B5" s="86"/>
      <c r="C5" s="86"/>
      <c r="D5" s="86"/>
      <c r="E5" s="86"/>
      <c r="F5" s="86"/>
      <c r="G5" s="86"/>
      <c r="H5" s="86"/>
      <c r="I5" s="96"/>
    </row>
    <row r="6" spans="1:9" x14ac:dyDescent="0.25">
      <c r="A6" s="87" t="s">
        <v>9</v>
      </c>
      <c r="B6" s="86"/>
      <c r="C6" s="92" t="str">
        <f>'Stavební rozpočet'!D6</f>
        <v xml:space="preserve"> </v>
      </c>
      <c r="D6" s="86"/>
      <c r="E6" s="92" t="s">
        <v>11</v>
      </c>
      <c r="F6" s="92" t="str">
        <f>'Stavební rozpočet'!J6</f>
        <v> </v>
      </c>
      <c r="G6" s="86"/>
      <c r="H6" s="92" t="s">
        <v>42</v>
      </c>
      <c r="I6" s="96" t="s">
        <v>18</v>
      </c>
    </row>
    <row r="7" spans="1:9" ht="15" customHeight="1" x14ac:dyDescent="0.25">
      <c r="A7" s="85"/>
      <c r="B7" s="86"/>
      <c r="C7" s="86"/>
      <c r="D7" s="86"/>
      <c r="E7" s="86"/>
      <c r="F7" s="86"/>
      <c r="G7" s="86"/>
      <c r="H7" s="86"/>
      <c r="I7" s="96"/>
    </row>
    <row r="8" spans="1:9" x14ac:dyDescent="0.25">
      <c r="A8" s="87" t="s">
        <v>6</v>
      </c>
      <c r="B8" s="86"/>
      <c r="C8" s="92">
        <f>'Stavební rozpočet'!H4</f>
        <v>0</v>
      </c>
      <c r="D8" s="86"/>
      <c r="E8" s="92" t="s">
        <v>10</v>
      </c>
      <c r="F8" s="92" t="str">
        <f>'Stavební rozpočet'!H6</f>
        <v xml:space="preserve"> </v>
      </c>
      <c r="G8" s="86"/>
      <c r="H8" s="86" t="s">
        <v>43</v>
      </c>
      <c r="I8" s="102">
        <v>25</v>
      </c>
    </row>
    <row r="9" spans="1:9" x14ac:dyDescent="0.25">
      <c r="A9" s="85"/>
      <c r="B9" s="86"/>
      <c r="C9" s="86"/>
      <c r="D9" s="86"/>
      <c r="E9" s="86"/>
      <c r="F9" s="86"/>
      <c r="G9" s="86"/>
      <c r="H9" s="86"/>
      <c r="I9" s="96"/>
    </row>
    <row r="10" spans="1:9" x14ac:dyDescent="0.25">
      <c r="A10" s="87" t="s">
        <v>44</v>
      </c>
      <c r="B10" s="86"/>
      <c r="C10" s="92">
        <f>'Stavební rozpočet'!D8</f>
        <v>0</v>
      </c>
      <c r="D10" s="86"/>
      <c r="E10" s="92" t="s">
        <v>12</v>
      </c>
      <c r="F10" s="92" t="str">
        <f>'Stavební rozpočet'!J8</f>
        <v>M. Petrů</v>
      </c>
      <c r="G10" s="86"/>
      <c r="H10" s="86" t="s">
        <v>45</v>
      </c>
      <c r="I10" s="97" t="str">
        <f>'Stavební rozpočet'!H8</f>
        <v>18.06.2024</v>
      </c>
    </row>
    <row r="11" spans="1:9" x14ac:dyDescent="0.25">
      <c r="A11" s="108"/>
      <c r="B11" s="90"/>
      <c r="C11" s="90"/>
      <c r="D11" s="90"/>
      <c r="E11" s="90"/>
      <c r="F11" s="90"/>
      <c r="G11" s="90"/>
      <c r="H11" s="90"/>
      <c r="I11" s="104"/>
    </row>
    <row r="12" spans="1:9" ht="23.25" x14ac:dyDescent="0.25">
      <c r="A12" s="105" t="s">
        <v>46</v>
      </c>
      <c r="B12" s="105"/>
      <c r="C12" s="105"/>
      <c r="D12" s="105"/>
      <c r="E12" s="105"/>
      <c r="F12" s="105"/>
      <c r="G12" s="105"/>
      <c r="H12" s="105"/>
      <c r="I12" s="105"/>
    </row>
    <row r="13" spans="1:9" ht="26.25" customHeight="1" x14ac:dyDescent="0.25">
      <c r="A13" s="14" t="s">
        <v>47</v>
      </c>
      <c r="B13" s="106" t="s">
        <v>48</v>
      </c>
      <c r="C13" s="107"/>
      <c r="D13" s="15" t="s">
        <v>49</v>
      </c>
      <c r="E13" s="106" t="s">
        <v>50</v>
      </c>
      <c r="F13" s="107"/>
      <c r="G13" s="15" t="s">
        <v>51</v>
      </c>
      <c r="H13" s="106" t="s">
        <v>52</v>
      </c>
      <c r="I13" s="107"/>
    </row>
    <row r="14" spans="1:9" ht="15.75" x14ac:dyDescent="0.25">
      <c r="A14" s="16" t="s">
        <v>53</v>
      </c>
      <c r="B14" s="17" t="s">
        <v>54</v>
      </c>
      <c r="C14" s="18">
        <f>SUM('Stavební rozpočet'!AB12:AB77)</f>
        <v>0</v>
      </c>
      <c r="D14" s="115" t="s">
        <v>55</v>
      </c>
      <c r="E14" s="116"/>
      <c r="F14" s="18">
        <f>VORN!I15</f>
        <v>0</v>
      </c>
      <c r="G14" s="115" t="s">
        <v>56</v>
      </c>
      <c r="H14" s="116"/>
      <c r="I14" s="19">
        <f>VORN!I21</f>
        <v>0</v>
      </c>
    </row>
    <row r="15" spans="1:9" ht="15.75" x14ac:dyDescent="0.25">
      <c r="A15" s="20" t="s">
        <v>18</v>
      </c>
      <c r="B15" s="17" t="s">
        <v>57</v>
      </c>
      <c r="C15" s="18">
        <f>SUM('Stavební rozpočet'!AC12:AC77)</f>
        <v>0</v>
      </c>
      <c r="D15" s="115" t="s">
        <v>58</v>
      </c>
      <c r="E15" s="116"/>
      <c r="F15" s="18">
        <f>VORN!I16</f>
        <v>0</v>
      </c>
      <c r="G15" s="115" t="s">
        <v>59</v>
      </c>
      <c r="H15" s="116"/>
      <c r="I15" s="19">
        <f>VORN!I22</f>
        <v>0</v>
      </c>
    </row>
    <row r="16" spans="1:9" ht="15.75" x14ac:dyDescent="0.25">
      <c r="A16" s="16" t="s">
        <v>60</v>
      </c>
      <c r="B16" s="17" t="s">
        <v>54</v>
      </c>
      <c r="C16" s="18">
        <f>SUM('Stavební rozpočet'!AD12:AD77)</f>
        <v>0</v>
      </c>
      <c r="D16" s="115" t="s">
        <v>61</v>
      </c>
      <c r="E16" s="116"/>
      <c r="F16" s="18">
        <f>VORN!I17</f>
        <v>0</v>
      </c>
      <c r="G16" s="115" t="s">
        <v>62</v>
      </c>
      <c r="H16" s="116"/>
      <c r="I16" s="19">
        <f>VORN!I23</f>
        <v>0</v>
      </c>
    </row>
    <row r="17" spans="1:9" ht="15.75" x14ac:dyDescent="0.25">
      <c r="A17" s="20" t="s">
        <v>18</v>
      </c>
      <c r="B17" s="17" t="s">
        <v>57</v>
      </c>
      <c r="C17" s="18">
        <f>SUM('Stavební rozpočet'!AE12:AE77)</f>
        <v>0</v>
      </c>
      <c r="D17" s="115" t="s">
        <v>18</v>
      </c>
      <c r="E17" s="116"/>
      <c r="F17" s="19" t="s">
        <v>18</v>
      </c>
      <c r="G17" s="115" t="s">
        <v>63</v>
      </c>
      <c r="H17" s="116"/>
      <c r="I17" s="19">
        <f>VORN!I24</f>
        <v>0</v>
      </c>
    </row>
    <row r="18" spans="1:9" ht="15.75" x14ac:dyDescent="0.25">
      <c r="A18" s="16" t="s">
        <v>64</v>
      </c>
      <c r="B18" s="17" t="s">
        <v>54</v>
      </c>
      <c r="C18" s="18">
        <f>SUM('Stavební rozpočet'!AF12:AF77)</f>
        <v>0</v>
      </c>
      <c r="D18" s="115" t="s">
        <v>18</v>
      </c>
      <c r="E18" s="116"/>
      <c r="F18" s="19" t="s">
        <v>18</v>
      </c>
      <c r="G18" s="115" t="s">
        <v>65</v>
      </c>
      <c r="H18" s="116"/>
      <c r="I18" s="19">
        <f>VORN!I25</f>
        <v>0</v>
      </c>
    </row>
    <row r="19" spans="1:9" ht="15.75" x14ac:dyDescent="0.25">
      <c r="A19" s="20" t="s">
        <v>18</v>
      </c>
      <c r="B19" s="17" t="s">
        <v>57</v>
      </c>
      <c r="C19" s="18">
        <f>SUM('Stavební rozpočet'!AG12:AG77)</f>
        <v>0</v>
      </c>
      <c r="D19" s="115" t="s">
        <v>18</v>
      </c>
      <c r="E19" s="116"/>
      <c r="F19" s="19" t="s">
        <v>18</v>
      </c>
      <c r="G19" s="115" t="s">
        <v>66</v>
      </c>
      <c r="H19" s="116"/>
      <c r="I19" s="19">
        <f>VORN!I26</f>
        <v>0</v>
      </c>
    </row>
    <row r="20" spans="1:9" ht="15.75" x14ac:dyDescent="0.25">
      <c r="A20" s="109" t="s">
        <v>67</v>
      </c>
      <c r="B20" s="110"/>
      <c r="C20" s="18">
        <f>SUM('Stavební rozpočet'!AH12:AH77)</f>
        <v>0</v>
      </c>
      <c r="D20" s="115" t="s">
        <v>18</v>
      </c>
      <c r="E20" s="116"/>
      <c r="F20" s="19" t="s">
        <v>18</v>
      </c>
      <c r="G20" s="115" t="s">
        <v>18</v>
      </c>
      <c r="H20" s="116"/>
      <c r="I20" s="19" t="s">
        <v>18</v>
      </c>
    </row>
    <row r="21" spans="1:9" ht="15.75" x14ac:dyDescent="0.25">
      <c r="A21" s="111" t="s">
        <v>68</v>
      </c>
      <c r="B21" s="112"/>
      <c r="C21" s="21">
        <f>SUM('Stavební rozpočet'!Z12:Z77)</f>
        <v>0</v>
      </c>
      <c r="D21" s="117" t="s">
        <v>18</v>
      </c>
      <c r="E21" s="118"/>
      <c r="F21" s="22" t="s">
        <v>18</v>
      </c>
      <c r="G21" s="117" t="s">
        <v>18</v>
      </c>
      <c r="H21" s="118"/>
      <c r="I21" s="22" t="s">
        <v>18</v>
      </c>
    </row>
    <row r="22" spans="1:9" ht="16.5" customHeight="1" x14ac:dyDescent="0.25">
      <c r="A22" s="113" t="s">
        <v>69</v>
      </c>
      <c r="B22" s="114"/>
      <c r="C22" s="23">
        <f>ROUND(SUM(C14:C21),2)</f>
        <v>0</v>
      </c>
      <c r="D22" s="119" t="s">
        <v>70</v>
      </c>
      <c r="E22" s="114"/>
      <c r="F22" s="23">
        <f>SUM(F14:F21)</f>
        <v>0</v>
      </c>
      <c r="G22" s="119" t="s">
        <v>71</v>
      </c>
      <c r="H22" s="114"/>
      <c r="I22" s="23">
        <f>SUM(I14:I21)</f>
        <v>0</v>
      </c>
    </row>
    <row r="23" spans="1:9" ht="15.75" x14ac:dyDescent="0.25">
      <c r="D23" s="109" t="s">
        <v>72</v>
      </c>
      <c r="E23" s="110"/>
      <c r="F23" s="24">
        <v>0</v>
      </c>
      <c r="G23" s="120" t="s">
        <v>73</v>
      </c>
      <c r="H23" s="110"/>
      <c r="I23" s="18">
        <v>0</v>
      </c>
    </row>
    <row r="24" spans="1:9" ht="15.75" x14ac:dyDescent="0.25">
      <c r="G24" s="109" t="s">
        <v>74</v>
      </c>
      <c r="H24" s="110"/>
      <c r="I24" s="21">
        <f>vorn_sum</f>
        <v>0</v>
      </c>
    </row>
    <row r="25" spans="1:9" ht="15.75" x14ac:dyDescent="0.25">
      <c r="G25" s="109" t="s">
        <v>75</v>
      </c>
      <c r="H25" s="110"/>
      <c r="I25" s="23">
        <v>0</v>
      </c>
    </row>
    <row r="27" spans="1:9" ht="15.75" x14ac:dyDescent="0.25">
      <c r="A27" s="121" t="s">
        <v>76</v>
      </c>
      <c r="B27" s="122"/>
      <c r="C27" s="25">
        <f>ROUND(SUM('Stavební rozpočet'!AJ12:AJ77),2)</f>
        <v>0</v>
      </c>
    </row>
    <row r="28" spans="1:9" ht="15.75" x14ac:dyDescent="0.25">
      <c r="A28" s="123" t="s">
        <v>77</v>
      </c>
      <c r="B28" s="124"/>
      <c r="C28" s="26">
        <f>ROUND(SUM('Stavební rozpočet'!AK12:AK77),2)</f>
        <v>0</v>
      </c>
      <c r="D28" s="125" t="s">
        <v>78</v>
      </c>
      <c r="E28" s="122"/>
      <c r="F28" s="25">
        <f>ROUND(C28*(12/100),2)</f>
        <v>0</v>
      </c>
      <c r="G28" s="125" t="s">
        <v>79</v>
      </c>
      <c r="H28" s="122"/>
      <c r="I28" s="25">
        <f>ROUND(SUM(C27:C29),2)</f>
        <v>0</v>
      </c>
    </row>
    <row r="29" spans="1:9" ht="15.75" x14ac:dyDescent="0.25">
      <c r="A29" s="123" t="s">
        <v>80</v>
      </c>
      <c r="B29" s="124"/>
      <c r="C29" s="26">
        <f>ROUND(SUM('Stavební rozpočet'!AL12:AL77)+(F22+I22+F23+I23+I24+I25),2)</f>
        <v>0</v>
      </c>
      <c r="D29" s="126" t="s">
        <v>81</v>
      </c>
      <c r="E29" s="124"/>
      <c r="F29" s="26">
        <f>ROUND(C29*(21/100),2)</f>
        <v>0</v>
      </c>
      <c r="G29" s="126" t="s">
        <v>82</v>
      </c>
      <c r="H29" s="124"/>
      <c r="I29" s="26">
        <f>ROUND(SUM(F28:F29)+I28,2)</f>
        <v>0</v>
      </c>
    </row>
    <row r="31" spans="1:9" x14ac:dyDescent="0.25">
      <c r="A31" s="136" t="s">
        <v>83</v>
      </c>
      <c r="B31" s="128"/>
      <c r="C31" s="129"/>
      <c r="D31" s="127" t="s">
        <v>84</v>
      </c>
      <c r="E31" s="128"/>
      <c r="F31" s="129"/>
      <c r="G31" s="127" t="s">
        <v>85</v>
      </c>
      <c r="H31" s="128"/>
      <c r="I31" s="129"/>
    </row>
    <row r="32" spans="1:9" x14ac:dyDescent="0.25">
      <c r="A32" s="137" t="s">
        <v>18</v>
      </c>
      <c r="B32" s="131"/>
      <c r="C32" s="132"/>
      <c r="D32" s="130" t="s">
        <v>18</v>
      </c>
      <c r="E32" s="131"/>
      <c r="F32" s="132"/>
      <c r="G32" s="130" t="s">
        <v>18</v>
      </c>
      <c r="H32" s="131"/>
      <c r="I32" s="132"/>
    </row>
    <row r="33" spans="1:9" x14ac:dyDescent="0.25">
      <c r="A33" s="137" t="s">
        <v>18</v>
      </c>
      <c r="B33" s="131"/>
      <c r="C33" s="132"/>
      <c r="D33" s="130" t="s">
        <v>18</v>
      </c>
      <c r="E33" s="131"/>
      <c r="F33" s="132"/>
      <c r="G33" s="130" t="s">
        <v>18</v>
      </c>
      <c r="H33" s="131"/>
      <c r="I33" s="132"/>
    </row>
    <row r="34" spans="1:9" x14ac:dyDescent="0.25">
      <c r="A34" s="137" t="s">
        <v>18</v>
      </c>
      <c r="B34" s="131"/>
      <c r="C34" s="132"/>
      <c r="D34" s="130" t="s">
        <v>18</v>
      </c>
      <c r="E34" s="131"/>
      <c r="F34" s="132"/>
      <c r="G34" s="130" t="s">
        <v>18</v>
      </c>
      <c r="H34" s="131"/>
      <c r="I34" s="132"/>
    </row>
    <row r="35" spans="1:9" x14ac:dyDescent="0.25">
      <c r="A35" s="138" t="s">
        <v>86</v>
      </c>
      <c r="B35" s="134"/>
      <c r="C35" s="135"/>
      <c r="D35" s="133" t="s">
        <v>86</v>
      </c>
      <c r="E35" s="134"/>
      <c r="F35" s="135"/>
      <c r="G35" s="133" t="s">
        <v>86</v>
      </c>
      <c r="H35" s="134"/>
      <c r="I35" s="135"/>
    </row>
    <row r="36" spans="1:9" x14ac:dyDescent="0.25">
      <c r="A36" s="27" t="s">
        <v>87</v>
      </c>
    </row>
    <row r="37" spans="1:9" ht="12.75" customHeight="1" x14ac:dyDescent="0.25">
      <c r="A37" s="92" t="s">
        <v>18</v>
      </c>
      <c r="B37" s="86"/>
      <c r="C37" s="86"/>
      <c r="D37" s="86"/>
      <c r="E37" s="86"/>
      <c r="F37" s="86"/>
      <c r="G37" s="86"/>
      <c r="H37" s="86"/>
      <c r="I37" s="86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99" t="s">
        <v>88</v>
      </c>
      <c r="B1" s="82"/>
      <c r="C1" s="82"/>
      <c r="D1" s="82"/>
      <c r="E1" s="82"/>
      <c r="F1" s="82"/>
      <c r="G1" s="82"/>
      <c r="H1" s="82"/>
      <c r="I1" s="82"/>
    </row>
    <row r="2" spans="1:9" x14ac:dyDescent="0.25">
      <c r="A2" s="83" t="s">
        <v>1</v>
      </c>
      <c r="B2" s="84"/>
      <c r="C2" s="93" t="str">
        <f>'Stavební rozpočet'!D2</f>
        <v>24099 Bruntál, oprava ulic Nová, Česká</v>
      </c>
      <c r="D2" s="103"/>
      <c r="E2" s="91" t="s">
        <v>4</v>
      </c>
      <c r="F2" s="91" t="str">
        <f>'Stavební rozpočet'!J2</f>
        <v xml:space="preserve">Město Bruntál </v>
      </c>
      <c r="G2" s="84"/>
      <c r="H2" s="91" t="s">
        <v>42</v>
      </c>
      <c r="I2" s="139" t="s">
        <v>18</v>
      </c>
    </row>
    <row r="3" spans="1:9" ht="15" customHeight="1" x14ac:dyDescent="0.25">
      <c r="A3" s="85"/>
      <c r="B3" s="86"/>
      <c r="C3" s="94"/>
      <c r="D3" s="94"/>
      <c r="E3" s="86"/>
      <c r="F3" s="86"/>
      <c r="G3" s="86"/>
      <c r="H3" s="86"/>
      <c r="I3" s="96"/>
    </row>
    <row r="4" spans="1:9" x14ac:dyDescent="0.25">
      <c r="A4" s="87" t="s">
        <v>5</v>
      </c>
      <c r="B4" s="86"/>
      <c r="C4" s="92" t="str">
        <f>'Stavební rozpočet'!D4</f>
        <v xml:space="preserve"> </v>
      </c>
      <c r="D4" s="86"/>
      <c r="E4" s="92" t="s">
        <v>8</v>
      </c>
      <c r="F4" s="92" t="str">
        <f>'Stavební rozpočet'!J4</f>
        <v> </v>
      </c>
      <c r="G4" s="86"/>
      <c r="H4" s="92" t="s">
        <v>42</v>
      </c>
      <c r="I4" s="96" t="s">
        <v>18</v>
      </c>
    </row>
    <row r="5" spans="1:9" ht="15" customHeight="1" x14ac:dyDescent="0.25">
      <c r="A5" s="85"/>
      <c r="B5" s="86"/>
      <c r="C5" s="86"/>
      <c r="D5" s="86"/>
      <c r="E5" s="86"/>
      <c r="F5" s="86"/>
      <c r="G5" s="86"/>
      <c r="H5" s="86"/>
      <c r="I5" s="96"/>
    </row>
    <row r="6" spans="1:9" x14ac:dyDescent="0.25">
      <c r="A6" s="87" t="s">
        <v>9</v>
      </c>
      <c r="B6" s="86"/>
      <c r="C6" s="92" t="str">
        <f>'Stavební rozpočet'!D6</f>
        <v xml:space="preserve"> </v>
      </c>
      <c r="D6" s="86"/>
      <c r="E6" s="92" t="s">
        <v>11</v>
      </c>
      <c r="F6" s="92" t="str">
        <f>'Stavební rozpočet'!J6</f>
        <v> </v>
      </c>
      <c r="G6" s="86"/>
      <c r="H6" s="92" t="s">
        <v>42</v>
      </c>
      <c r="I6" s="96" t="s">
        <v>18</v>
      </c>
    </row>
    <row r="7" spans="1:9" ht="15" customHeight="1" x14ac:dyDescent="0.25">
      <c r="A7" s="85"/>
      <c r="B7" s="86"/>
      <c r="C7" s="86"/>
      <c r="D7" s="86"/>
      <c r="E7" s="86"/>
      <c r="F7" s="86"/>
      <c r="G7" s="86"/>
      <c r="H7" s="86"/>
      <c r="I7" s="96"/>
    </row>
    <row r="8" spans="1:9" x14ac:dyDescent="0.25">
      <c r="A8" s="87" t="s">
        <v>6</v>
      </c>
      <c r="B8" s="86"/>
      <c r="C8" s="92">
        <f>'Stavební rozpočet'!H4</f>
        <v>0</v>
      </c>
      <c r="D8" s="86"/>
      <c r="E8" s="92" t="s">
        <v>10</v>
      </c>
      <c r="F8" s="92" t="str">
        <f>'Stavební rozpočet'!H6</f>
        <v xml:space="preserve"> </v>
      </c>
      <c r="G8" s="86"/>
      <c r="H8" s="86" t="s">
        <v>43</v>
      </c>
      <c r="I8" s="102">
        <v>25</v>
      </c>
    </row>
    <row r="9" spans="1:9" x14ac:dyDescent="0.25">
      <c r="A9" s="85"/>
      <c r="B9" s="86"/>
      <c r="C9" s="86"/>
      <c r="D9" s="86"/>
      <c r="E9" s="86"/>
      <c r="F9" s="86"/>
      <c r="G9" s="86"/>
      <c r="H9" s="86"/>
      <c r="I9" s="96"/>
    </row>
    <row r="10" spans="1:9" x14ac:dyDescent="0.25">
      <c r="A10" s="87" t="s">
        <v>44</v>
      </c>
      <c r="B10" s="86"/>
      <c r="C10" s="92">
        <f>'Stavební rozpočet'!D8</f>
        <v>0</v>
      </c>
      <c r="D10" s="86"/>
      <c r="E10" s="92" t="s">
        <v>12</v>
      </c>
      <c r="F10" s="92" t="str">
        <f>'Stavební rozpočet'!J8</f>
        <v>M. Petrů</v>
      </c>
      <c r="G10" s="86"/>
      <c r="H10" s="86" t="s">
        <v>45</v>
      </c>
      <c r="I10" s="97" t="str">
        <f>'Stavební rozpočet'!H8</f>
        <v>18.06.2024</v>
      </c>
    </row>
    <row r="11" spans="1:9" x14ac:dyDescent="0.25">
      <c r="A11" s="108"/>
      <c r="B11" s="90"/>
      <c r="C11" s="90"/>
      <c r="D11" s="90"/>
      <c r="E11" s="90"/>
      <c r="F11" s="90"/>
      <c r="G11" s="90"/>
      <c r="H11" s="90"/>
      <c r="I11" s="104"/>
    </row>
    <row r="13" spans="1:9" ht="15.75" x14ac:dyDescent="0.25">
      <c r="A13" s="140" t="s">
        <v>89</v>
      </c>
      <c r="B13" s="140"/>
      <c r="C13" s="140"/>
      <c r="D13" s="140"/>
      <c r="E13" s="140"/>
    </row>
    <row r="14" spans="1:9" x14ac:dyDescent="0.25">
      <c r="A14" s="141" t="s">
        <v>90</v>
      </c>
      <c r="B14" s="142"/>
      <c r="C14" s="142"/>
      <c r="D14" s="142"/>
      <c r="E14" s="143"/>
      <c r="F14" s="28" t="s">
        <v>91</v>
      </c>
      <c r="G14" s="28" t="s">
        <v>92</v>
      </c>
      <c r="H14" s="28" t="s">
        <v>93</v>
      </c>
      <c r="I14" s="28" t="s">
        <v>91</v>
      </c>
    </row>
    <row r="15" spans="1:9" x14ac:dyDescent="0.25">
      <c r="A15" s="144" t="s">
        <v>55</v>
      </c>
      <c r="B15" s="145"/>
      <c r="C15" s="145"/>
      <c r="D15" s="145"/>
      <c r="E15" s="146"/>
      <c r="F15" s="29">
        <v>0</v>
      </c>
      <c r="G15" s="30" t="s">
        <v>18</v>
      </c>
      <c r="H15" s="30" t="s">
        <v>18</v>
      </c>
      <c r="I15" s="29">
        <f>F15</f>
        <v>0</v>
      </c>
    </row>
    <row r="16" spans="1:9" x14ac:dyDescent="0.25">
      <c r="A16" s="144" t="s">
        <v>58</v>
      </c>
      <c r="B16" s="145"/>
      <c r="C16" s="145"/>
      <c r="D16" s="145"/>
      <c r="E16" s="146"/>
      <c r="F16" s="29">
        <v>0</v>
      </c>
      <c r="G16" s="30" t="s">
        <v>18</v>
      </c>
      <c r="H16" s="30" t="s">
        <v>18</v>
      </c>
      <c r="I16" s="29">
        <f>F16</f>
        <v>0</v>
      </c>
    </row>
    <row r="17" spans="1:9" x14ac:dyDescent="0.25">
      <c r="A17" s="147" t="s">
        <v>61</v>
      </c>
      <c r="B17" s="148"/>
      <c r="C17" s="148"/>
      <c r="D17" s="148"/>
      <c r="E17" s="149"/>
      <c r="F17" s="31">
        <v>0</v>
      </c>
      <c r="G17" s="32" t="s">
        <v>18</v>
      </c>
      <c r="H17" s="32" t="s">
        <v>18</v>
      </c>
      <c r="I17" s="31">
        <f>F17</f>
        <v>0</v>
      </c>
    </row>
    <row r="18" spans="1:9" x14ac:dyDescent="0.25">
      <c r="A18" s="150" t="s">
        <v>94</v>
      </c>
      <c r="B18" s="151"/>
      <c r="C18" s="151"/>
      <c r="D18" s="151"/>
      <c r="E18" s="152"/>
      <c r="F18" s="33" t="s">
        <v>18</v>
      </c>
      <c r="G18" s="34" t="s">
        <v>18</v>
      </c>
      <c r="H18" s="34" t="s">
        <v>18</v>
      </c>
      <c r="I18" s="35">
        <f>SUM(I15:I17)</f>
        <v>0</v>
      </c>
    </row>
    <row r="20" spans="1:9" x14ac:dyDescent="0.25">
      <c r="A20" s="141" t="s">
        <v>52</v>
      </c>
      <c r="B20" s="142"/>
      <c r="C20" s="142"/>
      <c r="D20" s="142"/>
      <c r="E20" s="143"/>
      <c r="F20" s="28" t="s">
        <v>91</v>
      </c>
      <c r="G20" s="28" t="s">
        <v>92</v>
      </c>
      <c r="H20" s="28" t="s">
        <v>93</v>
      </c>
      <c r="I20" s="28" t="s">
        <v>91</v>
      </c>
    </row>
    <row r="21" spans="1:9" x14ac:dyDescent="0.25">
      <c r="A21" s="144" t="s">
        <v>56</v>
      </c>
      <c r="B21" s="145"/>
      <c r="C21" s="145"/>
      <c r="D21" s="145"/>
      <c r="E21" s="146"/>
      <c r="F21" s="29">
        <v>0</v>
      </c>
      <c r="G21" s="30" t="s">
        <v>18</v>
      </c>
      <c r="H21" s="30" t="s">
        <v>18</v>
      </c>
      <c r="I21" s="29">
        <f t="shared" ref="I21:I26" si="0">F21</f>
        <v>0</v>
      </c>
    </row>
    <row r="22" spans="1:9" x14ac:dyDescent="0.25">
      <c r="A22" s="144" t="s">
        <v>59</v>
      </c>
      <c r="B22" s="145"/>
      <c r="C22" s="145"/>
      <c r="D22" s="145"/>
      <c r="E22" s="146"/>
      <c r="F22" s="29">
        <v>0</v>
      </c>
      <c r="G22" s="30" t="s">
        <v>18</v>
      </c>
      <c r="H22" s="30" t="s">
        <v>18</v>
      </c>
      <c r="I22" s="29">
        <f t="shared" si="0"/>
        <v>0</v>
      </c>
    </row>
    <row r="23" spans="1:9" x14ac:dyDescent="0.25">
      <c r="A23" s="144" t="s">
        <v>62</v>
      </c>
      <c r="B23" s="145"/>
      <c r="C23" s="145"/>
      <c r="D23" s="145"/>
      <c r="E23" s="146"/>
      <c r="F23" s="29">
        <v>0</v>
      </c>
      <c r="G23" s="30" t="s">
        <v>18</v>
      </c>
      <c r="H23" s="30" t="s">
        <v>18</v>
      </c>
      <c r="I23" s="29">
        <f t="shared" si="0"/>
        <v>0</v>
      </c>
    </row>
    <row r="24" spans="1:9" x14ac:dyDescent="0.25">
      <c r="A24" s="144" t="s">
        <v>63</v>
      </c>
      <c r="B24" s="145"/>
      <c r="C24" s="145"/>
      <c r="D24" s="145"/>
      <c r="E24" s="146"/>
      <c r="F24" s="29">
        <v>0</v>
      </c>
      <c r="G24" s="30" t="s">
        <v>18</v>
      </c>
      <c r="H24" s="30" t="s">
        <v>18</v>
      </c>
      <c r="I24" s="29">
        <f t="shared" si="0"/>
        <v>0</v>
      </c>
    </row>
    <row r="25" spans="1:9" x14ac:dyDescent="0.25">
      <c r="A25" s="144" t="s">
        <v>65</v>
      </c>
      <c r="B25" s="145"/>
      <c r="C25" s="145"/>
      <c r="D25" s="145"/>
      <c r="E25" s="146"/>
      <c r="F25" s="29">
        <v>0</v>
      </c>
      <c r="G25" s="30" t="s">
        <v>18</v>
      </c>
      <c r="H25" s="30" t="s">
        <v>18</v>
      </c>
      <c r="I25" s="29">
        <f t="shared" si="0"/>
        <v>0</v>
      </c>
    </row>
    <row r="26" spans="1:9" x14ac:dyDescent="0.25">
      <c r="A26" s="147" t="s">
        <v>66</v>
      </c>
      <c r="B26" s="148"/>
      <c r="C26" s="148"/>
      <c r="D26" s="148"/>
      <c r="E26" s="149"/>
      <c r="F26" s="31">
        <v>0</v>
      </c>
      <c r="G26" s="32" t="s">
        <v>18</v>
      </c>
      <c r="H26" s="32" t="s">
        <v>18</v>
      </c>
      <c r="I26" s="31">
        <f t="shared" si="0"/>
        <v>0</v>
      </c>
    </row>
    <row r="27" spans="1:9" x14ac:dyDescent="0.25">
      <c r="A27" s="150" t="s">
        <v>95</v>
      </c>
      <c r="B27" s="151"/>
      <c r="C27" s="151"/>
      <c r="D27" s="151"/>
      <c r="E27" s="152"/>
      <c r="F27" s="33" t="s">
        <v>18</v>
      </c>
      <c r="G27" s="34" t="s">
        <v>18</v>
      </c>
      <c r="H27" s="34" t="s">
        <v>18</v>
      </c>
      <c r="I27" s="35">
        <f>SUM(I21:I26)</f>
        <v>0</v>
      </c>
    </row>
    <row r="29" spans="1:9" ht="15.75" x14ac:dyDescent="0.25">
      <c r="A29" s="153" t="s">
        <v>96</v>
      </c>
      <c r="B29" s="154"/>
      <c r="C29" s="154"/>
      <c r="D29" s="154"/>
      <c r="E29" s="155"/>
      <c r="F29" s="156">
        <f>I18+I27</f>
        <v>0</v>
      </c>
      <c r="G29" s="157"/>
      <c r="H29" s="157"/>
      <c r="I29" s="158"/>
    </row>
    <row r="33" spans="1:9" ht="15.75" x14ac:dyDescent="0.25">
      <c r="A33" s="140" t="s">
        <v>97</v>
      </c>
      <c r="B33" s="140"/>
      <c r="C33" s="140"/>
      <c r="D33" s="140"/>
      <c r="E33" s="140"/>
    </row>
    <row r="34" spans="1:9" x14ac:dyDescent="0.25">
      <c r="A34" s="141" t="s">
        <v>98</v>
      </c>
      <c r="B34" s="142"/>
      <c r="C34" s="142"/>
      <c r="D34" s="142"/>
      <c r="E34" s="143"/>
      <c r="F34" s="28" t="s">
        <v>91</v>
      </c>
      <c r="G34" s="28" t="s">
        <v>92</v>
      </c>
      <c r="H34" s="28" t="s">
        <v>93</v>
      </c>
      <c r="I34" s="28" t="s">
        <v>91</v>
      </c>
    </row>
    <row r="35" spans="1:9" x14ac:dyDescent="0.25">
      <c r="A35" s="147" t="s">
        <v>18</v>
      </c>
      <c r="B35" s="148"/>
      <c r="C35" s="148"/>
      <c r="D35" s="148"/>
      <c r="E35" s="149"/>
      <c r="F35" s="31">
        <v>0</v>
      </c>
      <c r="G35" s="32" t="s">
        <v>18</v>
      </c>
      <c r="H35" s="32" t="s">
        <v>18</v>
      </c>
      <c r="I35" s="31">
        <f>F35</f>
        <v>0</v>
      </c>
    </row>
    <row r="36" spans="1:9" x14ac:dyDescent="0.25">
      <c r="A36" s="150" t="s">
        <v>99</v>
      </c>
      <c r="B36" s="151"/>
      <c r="C36" s="151"/>
      <c r="D36" s="151"/>
      <c r="E36" s="152"/>
      <c r="F36" s="33" t="s">
        <v>18</v>
      </c>
      <c r="G36" s="34" t="s">
        <v>18</v>
      </c>
      <c r="H36" s="34" t="s">
        <v>18</v>
      </c>
      <c r="I36" s="35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79"/>
  <sheetViews>
    <sheetView tabSelected="1" workbookViewId="0">
      <pane ySplit="11" topLeftCell="A12" activePane="bottomLeft" state="frozen"/>
      <selection pane="bottomLeft" activeCell="I15" sqref="I15"/>
    </sheetView>
  </sheetViews>
  <sheetFormatPr defaultColWidth="12.140625" defaultRowHeight="15" customHeight="1" x14ac:dyDescent="0.25"/>
  <cols>
    <col min="1" max="1" width="3.140625" style="68" customWidth="1"/>
    <col min="2" max="2" width="7.5703125" style="68" customWidth="1"/>
    <col min="3" max="3" width="17.85546875" style="68" customWidth="1"/>
    <col min="4" max="4" width="33.7109375" style="68" customWidth="1"/>
    <col min="5" max="5" width="35.7109375" style="68" customWidth="1"/>
    <col min="6" max="6" width="4.28515625" style="68" customWidth="1"/>
    <col min="7" max="7" width="12.85546875" style="68" customWidth="1"/>
    <col min="8" max="8" width="12" style="56" customWidth="1"/>
    <col min="9" max="9" width="15.7109375" style="56" customWidth="1"/>
    <col min="10" max="10" width="12.5703125" style="68" customWidth="1"/>
    <col min="11" max="24" width="12.140625" style="68"/>
    <col min="25" max="75" width="12.140625" style="68" hidden="1"/>
    <col min="76" max="76" width="69.42578125" style="68" hidden="1" customWidth="1"/>
    <col min="77" max="78" width="12.140625" style="68" hidden="1"/>
    <col min="79" max="16384" width="12.140625" style="68"/>
  </cols>
  <sheetData>
    <row r="1" spans="1:76" ht="54.75" customHeight="1" x14ac:dyDescent="0.25">
      <c r="A1" s="172" t="s">
        <v>100</v>
      </c>
      <c r="B1" s="172"/>
      <c r="C1" s="172"/>
      <c r="D1" s="172"/>
      <c r="E1" s="172"/>
      <c r="F1" s="172"/>
      <c r="G1" s="172"/>
      <c r="H1" s="69"/>
      <c r="I1" s="69"/>
      <c r="J1" s="70"/>
      <c r="K1" s="70"/>
      <c r="AS1" s="36">
        <f>SUM(AJ1:AJ2)</f>
        <v>0</v>
      </c>
      <c r="AT1" s="36">
        <f>SUM(AK1:AK2)</f>
        <v>0</v>
      </c>
      <c r="AU1" s="36">
        <f>SUM(AL1:AL2)</f>
        <v>0</v>
      </c>
    </row>
    <row r="2" spans="1:76" x14ac:dyDescent="0.25">
      <c r="A2" s="83" t="s">
        <v>1</v>
      </c>
      <c r="B2" s="84"/>
      <c r="C2" s="84"/>
      <c r="D2" s="93" t="s">
        <v>249</v>
      </c>
      <c r="E2" s="103"/>
      <c r="F2" s="84" t="s">
        <v>2</v>
      </c>
      <c r="G2" s="84"/>
      <c r="H2" s="165" t="s">
        <v>3</v>
      </c>
      <c r="I2" s="159" t="s">
        <v>4</v>
      </c>
      <c r="J2" s="183" t="s">
        <v>250</v>
      </c>
      <c r="K2" s="79"/>
    </row>
    <row r="3" spans="1:76" x14ac:dyDescent="0.25">
      <c r="A3" s="85"/>
      <c r="B3" s="86"/>
      <c r="C3" s="86"/>
      <c r="D3" s="94"/>
      <c r="E3" s="94"/>
      <c r="F3" s="86"/>
      <c r="G3" s="86"/>
      <c r="H3" s="160"/>
      <c r="I3" s="160"/>
      <c r="J3" s="184" t="s">
        <v>251</v>
      </c>
      <c r="K3" s="72"/>
    </row>
    <row r="4" spans="1:76" x14ac:dyDescent="0.25">
      <c r="A4" s="87" t="s">
        <v>5</v>
      </c>
      <c r="B4" s="86"/>
      <c r="C4" s="86"/>
      <c r="D4" s="92" t="s">
        <v>3</v>
      </c>
      <c r="E4" s="86"/>
      <c r="F4" s="86" t="s">
        <v>6</v>
      </c>
      <c r="G4" s="86"/>
      <c r="H4" s="160"/>
      <c r="I4" s="161" t="s">
        <v>8</v>
      </c>
      <c r="J4" s="185" t="s">
        <v>101</v>
      </c>
      <c r="K4" s="72"/>
    </row>
    <row r="5" spans="1:76" x14ac:dyDescent="0.25">
      <c r="A5" s="85"/>
      <c r="B5" s="86"/>
      <c r="C5" s="86"/>
      <c r="D5" s="86"/>
      <c r="E5" s="86"/>
      <c r="F5" s="86"/>
      <c r="G5" s="86"/>
      <c r="H5" s="160"/>
      <c r="I5" s="160"/>
      <c r="J5" s="185"/>
      <c r="K5" s="72"/>
    </row>
    <row r="6" spans="1:76" x14ac:dyDescent="0.25">
      <c r="A6" s="87" t="s">
        <v>9</v>
      </c>
      <c r="B6" s="86"/>
      <c r="C6" s="86"/>
      <c r="D6" s="92" t="s">
        <v>3</v>
      </c>
      <c r="E6" s="86"/>
      <c r="F6" s="86" t="s">
        <v>10</v>
      </c>
      <c r="G6" s="86"/>
      <c r="H6" s="160" t="s">
        <v>3</v>
      </c>
      <c r="I6" s="161" t="s">
        <v>11</v>
      </c>
      <c r="J6" s="185" t="s">
        <v>101</v>
      </c>
      <c r="K6" s="72"/>
    </row>
    <row r="7" spans="1:76" x14ac:dyDescent="0.25">
      <c r="A7" s="85"/>
      <c r="B7" s="86"/>
      <c r="C7" s="86"/>
      <c r="D7" s="86"/>
      <c r="E7" s="86"/>
      <c r="F7" s="86"/>
      <c r="G7" s="86"/>
      <c r="H7" s="160"/>
      <c r="I7" s="160"/>
      <c r="J7" s="185"/>
      <c r="K7" s="72"/>
    </row>
    <row r="8" spans="1:76" x14ac:dyDescent="0.25">
      <c r="A8" s="87" t="s">
        <v>44</v>
      </c>
      <c r="B8" s="86"/>
      <c r="C8" s="86"/>
      <c r="D8" s="92"/>
      <c r="E8" s="86"/>
      <c r="F8" s="86" t="s">
        <v>13</v>
      </c>
      <c r="G8" s="86"/>
      <c r="H8" s="160" t="s">
        <v>7</v>
      </c>
      <c r="I8" s="161" t="s">
        <v>12</v>
      </c>
      <c r="J8" s="186" t="s">
        <v>248</v>
      </c>
      <c r="K8" s="72"/>
    </row>
    <row r="9" spans="1:76" x14ac:dyDescent="0.25">
      <c r="A9" s="88"/>
      <c r="B9" s="89"/>
      <c r="C9" s="89"/>
      <c r="D9" s="89"/>
      <c r="E9" s="89"/>
      <c r="F9" s="89"/>
      <c r="G9" s="89"/>
      <c r="H9" s="162"/>
      <c r="I9" s="162"/>
      <c r="J9" s="145"/>
      <c r="K9" s="76"/>
    </row>
    <row r="10" spans="1:76" x14ac:dyDescent="0.25">
      <c r="A10" s="37" t="s">
        <v>102</v>
      </c>
      <c r="B10" s="38" t="s">
        <v>14</v>
      </c>
      <c r="C10" s="38" t="s">
        <v>15</v>
      </c>
      <c r="D10" s="163" t="s">
        <v>16</v>
      </c>
      <c r="E10" s="164"/>
      <c r="F10" s="38" t="s">
        <v>103</v>
      </c>
      <c r="G10" s="39" t="s">
        <v>104</v>
      </c>
      <c r="H10" s="58" t="s">
        <v>105</v>
      </c>
      <c r="I10" s="59" t="s">
        <v>106</v>
      </c>
      <c r="K10" s="40"/>
      <c r="BK10" s="41" t="s">
        <v>107</v>
      </c>
      <c r="BL10" s="42" t="s">
        <v>108</v>
      </c>
      <c r="BW10" s="42" t="s">
        <v>109</v>
      </c>
    </row>
    <row r="11" spans="1:76" x14ac:dyDescent="0.25">
      <c r="A11" s="43" t="s">
        <v>3</v>
      </c>
      <c r="B11" s="44" t="s">
        <v>3</v>
      </c>
      <c r="C11" s="44" t="s">
        <v>3</v>
      </c>
      <c r="D11" s="166" t="s">
        <v>110</v>
      </c>
      <c r="E11" s="167"/>
      <c r="F11" s="44" t="s">
        <v>3</v>
      </c>
      <c r="G11" s="44" t="s">
        <v>3</v>
      </c>
      <c r="H11" s="60" t="s">
        <v>111</v>
      </c>
      <c r="I11" s="61" t="s">
        <v>112</v>
      </c>
      <c r="K11" s="45"/>
      <c r="Z11" s="41" t="s">
        <v>113</v>
      </c>
      <c r="AA11" s="41" t="s">
        <v>114</v>
      </c>
      <c r="AB11" s="41" t="s">
        <v>115</v>
      </c>
      <c r="AC11" s="41" t="s">
        <v>116</v>
      </c>
      <c r="AD11" s="41" t="s">
        <v>117</v>
      </c>
      <c r="AE11" s="41" t="s">
        <v>118</v>
      </c>
      <c r="AF11" s="41" t="s">
        <v>119</v>
      </c>
      <c r="AG11" s="41" t="s">
        <v>120</v>
      </c>
      <c r="AH11" s="41" t="s">
        <v>121</v>
      </c>
      <c r="BH11" s="41" t="s">
        <v>122</v>
      </c>
      <c r="BI11" s="41" t="s">
        <v>123</v>
      </c>
      <c r="BJ11" s="41" t="s">
        <v>124</v>
      </c>
    </row>
    <row r="12" spans="1:76" x14ac:dyDescent="0.25">
      <c r="A12" s="46" t="s">
        <v>18</v>
      </c>
      <c r="B12" s="81" t="s">
        <v>18</v>
      </c>
      <c r="C12" s="81" t="s">
        <v>19</v>
      </c>
      <c r="D12" s="168" t="s">
        <v>20</v>
      </c>
      <c r="E12" s="169"/>
      <c r="F12" s="47" t="s">
        <v>3</v>
      </c>
      <c r="G12" s="47" t="s">
        <v>3</v>
      </c>
      <c r="H12" s="62" t="s">
        <v>3</v>
      </c>
      <c r="I12" s="63">
        <f>SUM(I13:I19)</f>
        <v>0</v>
      </c>
      <c r="K12" s="45"/>
      <c r="AI12" s="41" t="s">
        <v>18</v>
      </c>
      <c r="AS12" s="36">
        <f>SUM(AJ13:AJ19)</f>
        <v>0</v>
      </c>
      <c r="AT12" s="36">
        <f>SUM(AK13:AK19)</f>
        <v>0</v>
      </c>
      <c r="AU12" s="36">
        <f>SUM(AL13:AL19)</f>
        <v>0</v>
      </c>
    </row>
    <row r="13" spans="1:76" x14ac:dyDescent="0.25">
      <c r="A13" s="75" t="s">
        <v>125</v>
      </c>
      <c r="B13" s="71" t="s">
        <v>18</v>
      </c>
      <c r="C13" s="71" t="s">
        <v>126</v>
      </c>
      <c r="D13" s="92" t="s">
        <v>127</v>
      </c>
      <c r="E13" s="86"/>
      <c r="F13" s="71" t="s">
        <v>128</v>
      </c>
      <c r="G13" s="12">
        <v>1</v>
      </c>
      <c r="H13" s="64">
        <v>0</v>
      </c>
      <c r="I13" s="64">
        <f>ROUND(G13*H13,2)</f>
        <v>0</v>
      </c>
      <c r="K13" s="45"/>
      <c r="Z13" s="12">
        <f>ROUND(IF(AQ13="5",BJ13,0),2)</f>
        <v>0</v>
      </c>
      <c r="AB13" s="12">
        <f>ROUND(IF(AQ13="1",BH13,0),2)</f>
        <v>0</v>
      </c>
      <c r="AC13" s="12">
        <f>ROUND(IF(AQ13="1",BI13,0),2)</f>
        <v>0</v>
      </c>
      <c r="AD13" s="12">
        <f>ROUND(IF(AQ13="7",BH13,0),2)</f>
        <v>0</v>
      </c>
      <c r="AE13" s="12">
        <f>ROUND(IF(AQ13="7",BI13,0),2)</f>
        <v>0</v>
      </c>
      <c r="AF13" s="12">
        <f>ROUND(IF(AQ13="2",BH13,0),2)</f>
        <v>0</v>
      </c>
      <c r="AG13" s="12">
        <f>ROUND(IF(AQ13="2",BI13,0),2)</f>
        <v>0</v>
      </c>
      <c r="AH13" s="12">
        <f>ROUND(IF(AQ13="0",BJ13,0),2)</f>
        <v>0</v>
      </c>
      <c r="AI13" s="41" t="s">
        <v>18</v>
      </c>
      <c r="AJ13" s="12">
        <f>IF(AN13=0,I13,0)</f>
        <v>0</v>
      </c>
      <c r="AK13" s="12">
        <f>IF(AN13=12,I13,0)</f>
        <v>0</v>
      </c>
      <c r="AL13" s="12">
        <f>IF(AN13=21,I13,0)</f>
        <v>0</v>
      </c>
      <c r="AN13" s="12">
        <v>21</v>
      </c>
      <c r="AO13" s="12">
        <f>H13*0</f>
        <v>0</v>
      </c>
      <c r="AP13" s="12">
        <f>H13*(1-0)</f>
        <v>0</v>
      </c>
      <c r="AQ13" s="11" t="s">
        <v>125</v>
      </c>
      <c r="AV13" s="12">
        <f>ROUND(AW13+AX13,2)</f>
        <v>0</v>
      </c>
      <c r="AW13" s="12">
        <f>ROUND(G13*AO13,2)</f>
        <v>0</v>
      </c>
      <c r="AX13" s="12">
        <f>ROUND(G13*AP13,2)</f>
        <v>0</v>
      </c>
      <c r="AY13" s="11" t="s">
        <v>129</v>
      </c>
      <c r="AZ13" s="11" t="s">
        <v>130</v>
      </c>
      <c r="BA13" s="41" t="s">
        <v>131</v>
      </c>
      <c r="BC13" s="12">
        <f>AW13+AX13</f>
        <v>0</v>
      </c>
      <c r="BD13" s="12">
        <f>H13/(100-BE13)*100</f>
        <v>0</v>
      </c>
      <c r="BE13" s="12">
        <v>0</v>
      </c>
      <c r="BF13" s="12">
        <f>13</f>
        <v>13</v>
      </c>
      <c r="BH13" s="12">
        <f>G13*AO13</f>
        <v>0</v>
      </c>
      <c r="BI13" s="12">
        <f>G13*AP13</f>
        <v>0</v>
      </c>
      <c r="BJ13" s="12">
        <f>G13*H13</f>
        <v>0</v>
      </c>
      <c r="BK13" s="12"/>
      <c r="BL13" s="12">
        <v>0</v>
      </c>
      <c r="BW13" s="12">
        <v>21</v>
      </c>
      <c r="BX13" s="73" t="s">
        <v>127</v>
      </c>
    </row>
    <row r="14" spans="1:76" x14ac:dyDescent="0.25">
      <c r="A14" s="48"/>
      <c r="D14" s="49" t="s">
        <v>132</v>
      </c>
      <c r="E14" s="49" t="s">
        <v>18</v>
      </c>
      <c r="G14" s="50">
        <v>0</v>
      </c>
      <c r="K14" s="45"/>
    </row>
    <row r="15" spans="1:76" x14ac:dyDescent="0.25">
      <c r="A15" s="48"/>
      <c r="D15" s="49" t="s">
        <v>125</v>
      </c>
      <c r="E15" s="49" t="s">
        <v>18</v>
      </c>
      <c r="G15" s="50">
        <v>1</v>
      </c>
      <c r="K15" s="45"/>
    </row>
    <row r="16" spans="1:76" x14ac:dyDescent="0.25">
      <c r="A16" s="75" t="s">
        <v>133</v>
      </c>
      <c r="B16" s="71" t="s">
        <v>18</v>
      </c>
      <c r="C16" s="71" t="s">
        <v>134</v>
      </c>
      <c r="D16" s="92" t="s">
        <v>135</v>
      </c>
      <c r="E16" s="86"/>
      <c r="F16" s="71" t="s">
        <v>128</v>
      </c>
      <c r="G16" s="12">
        <v>1</v>
      </c>
      <c r="H16" s="64">
        <v>0</v>
      </c>
      <c r="I16" s="64">
        <f>ROUND(G16*H16,2)</f>
        <v>0</v>
      </c>
      <c r="K16" s="45"/>
      <c r="Z16" s="12">
        <f>ROUND(IF(AQ16="5",BJ16,0),2)</f>
        <v>0</v>
      </c>
      <c r="AB16" s="12">
        <f>ROUND(IF(AQ16="1",BH16,0),2)</f>
        <v>0</v>
      </c>
      <c r="AC16" s="12">
        <f>ROUND(IF(AQ16="1",BI16,0),2)</f>
        <v>0</v>
      </c>
      <c r="AD16" s="12">
        <f>ROUND(IF(AQ16="7",BH16,0),2)</f>
        <v>0</v>
      </c>
      <c r="AE16" s="12">
        <f>ROUND(IF(AQ16="7",BI16,0),2)</f>
        <v>0</v>
      </c>
      <c r="AF16" s="12">
        <f>ROUND(IF(AQ16="2",BH16,0),2)</f>
        <v>0</v>
      </c>
      <c r="AG16" s="12">
        <f>ROUND(IF(AQ16="2",BI16,0),2)</f>
        <v>0</v>
      </c>
      <c r="AH16" s="12">
        <f>ROUND(IF(AQ16="0",BJ16,0),2)</f>
        <v>0</v>
      </c>
      <c r="AI16" s="41" t="s">
        <v>18</v>
      </c>
      <c r="AJ16" s="12">
        <f>IF(AN16=0,I16,0)</f>
        <v>0</v>
      </c>
      <c r="AK16" s="12">
        <f>IF(AN16=12,I16,0)</f>
        <v>0</v>
      </c>
      <c r="AL16" s="12">
        <f>IF(AN16=21,I16,0)</f>
        <v>0</v>
      </c>
      <c r="AN16" s="12">
        <v>21</v>
      </c>
      <c r="AO16" s="12">
        <f>H16*0</f>
        <v>0</v>
      </c>
      <c r="AP16" s="12">
        <f>H16*(1-0)</f>
        <v>0</v>
      </c>
      <c r="AQ16" s="11" t="s">
        <v>125</v>
      </c>
      <c r="AV16" s="12">
        <f>ROUND(AW16+AX16,2)</f>
        <v>0</v>
      </c>
      <c r="AW16" s="12">
        <f>ROUND(G16*AO16,2)</f>
        <v>0</v>
      </c>
      <c r="AX16" s="12">
        <f>ROUND(G16*AP16,2)</f>
        <v>0</v>
      </c>
      <c r="AY16" s="11" t="s">
        <v>129</v>
      </c>
      <c r="AZ16" s="11" t="s">
        <v>130</v>
      </c>
      <c r="BA16" s="41" t="s">
        <v>131</v>
      </c>
      <c r="BC16" s="12">
        <f>AW16+AX16</f>
        <v>0</v>
      </c>
      <c r="BD16" s="12">
        <f>H16/(100-BE16)*100</f>
        <v>0</v>
      </c>
      <c r="BE16" s="12">
        <v>0</v>
      </c>
      <c r="BF16" s="12">
        <f>16</f>
        <v>16</v>
      </c>
      <c r="BH16" s="12">
        <f>G16*AO16</f>
        <v>0</v>
      </c>
      <c r="BI16" s="12">
        <f>G16*AP16</f>
        <v>0</v>
      </c>
      <c r="BJ16" s="12">
        <f>G16*H16</f>
        <v>0</v>
      </c>
      <c r="BK16" s="12"/>
      <c r="BL16" s="12">
        <v>0</v>
      </c>
      <c r="BW16" s="12">
        <v>21</v>
      </c>
      <c r="BX16" s="73" t="s">
        <v>135</v>
      </c>
    </row>
    <row r="17" spans="1:76" x14ac:dyDescent="0.25">
      <c r="A17" s="75" t="s">
        <v>136</v>
      </c>
      <c r="B17" s="71" t="s">
        <v>18</v>
      </c>
      <c r="C17" s="71" t="s">
        <v>137</v>
      </c>
      <c r="D17" s="92" t="s">
        <v>138</v>
      </c>
      <c r="E17" s="86"/>
      <c r="F17" s="71" t="s">
        <v>128</v>
      </c>
      <c r="G17" s="12">
        <v>1</v>
      </c>
      <c r="H17" s="64">
        <v>0</v>
      </c>
      <c r="I17" s="64">
        <f>ROUND(G17*H17,2)</f>
        <v>0</v>
      </c>
      <c r="K17" s="45"/>
      <c r="Z17" s="12">
        <f>ROUND(IF(AQ17="5",BJ17,0),2)</f>
        <v>0</v>
      </c>
      <c r="AB17" s="12">
        <f>ROUND(IF(AQ17="1",BH17,0),2)</f>
        <v>0</v>
      </c>
      <c r="AC17" s="12">
        <f>ROUND(IF(AQ17="1",BI17,0),2)</f>
        <v>0</v>
      </c>
      <c r="AD17" s="12">
        <f>ROUND(IF(AQ17="7",BH17,0),2)</f>
        <v>0</v>
      </c>
      <c r="AE17" s="12">
        <f>ROUND(IF(AQ17="7",BI17,0),2)</f>
        <v>0</v>
      </c>
      <c r="AF17" s="12">
        <f>ROUND(IF(AQ17="2",BH17,0),2)</f>
        <v>0</v>
      </c>
      <c r="AG17" s="12">
        <f>ROUND(IF(AQ17="2",BI17,0),2)</f>
        <v>0</v>
      </c>
      <c r="AH17" s="12">
        <f>ROUND(IF(AQ17="0",BJ17,0),2)</f>
        <v>0</v>
      </c>
      <c r="AI17" s="41" t="s">
        <v>18</v>
      </c>
      <c r="AJ17" s="12">
        <f>IF(AN17=0,I17,0)</f>
        <v>0</v>
      </c>
      <c r="AK17" s="12">
        <f>IF(AN17=12,I17,0)</f>
        <v>0</v>
      </c>
      <c r="AL17" s="12">
        <f>IF(AN17=21,I17,0)</f>
        <v>0</v>
      </c>
      <c r="AN17" s="12">
        <v>21</v>
      </c>
      <c r="AO17" s="12">
        <f>H17*0</f>
        <v>0</v>
      </c>
      <c r="AP17" s="12">
        <f>H17*(1-0)</f>
        <v>0</v>
      </c>
      <c r="AQ17" s="11" t="s">
        <v>125</v>
      </c>
      <c r="AV17" s="12">
        <f>ROUND(AW17+AX17,2)</f>
        <v>0</v>
      </c>
      <c r="AW17" s="12">
        <f>ROUND(G17*AO17,2)</f>
        <v>0</v>
      </c>
      <c r="AX17" s="12">
        <f>ROUND(G17*AP17,2)</f>
        <v>0</v>
      </c>
      <c r="AY17" s="11" t="s">
        <v>129</v>
      </c>
      <c r="AZ17" s="11" t="s">
        <v>130</v>
      </c>
      <c r="BA17" s="41" t="s">
        <v>131</v>
      </c>
      <c r="BC17" s="12">
        <f>AW17+AX17</f>
        <v>0</v>
      </c>
      <c r="BD17" s="12">
        <f>H17/(100-BE17)*100</f>
        <v>0</v>
      </c>
      <c r="BE17" s="12">
        <v>0</v>
      </c>
      <c r="BF17" s="12">
        <f>17</f>
        <v>17</v>
      </c>
      <c r="BH17" s="12">
        <f>G17*AO17</f>
        <v>0</v>
      </c>
      <c r="BI17" s="12">
        <f>G17*AP17</f>
        <v>0</v>
      </c>
      <c r="BJ17" s="12">
        <f>G17*H17</f>
        <v>0</v>
      </c>
      <c r="BK17" s="12"/>
      <c r="BL17" s="12">
        <v>0</v>
      </c>
      <c r="BW17" s="12">
        <v>21</v>
      </c>
      <c r="BX17" s="73" t="s">
        <v>138</v>
      </c>
    </row>
    <row r="18" spans="1:76" x14ac:dyDescent="0.25">
      <c r="A18" s="75" t="s">
        <v>139</v>
      </c>
      <c r="B18" s="71" t="s">
        <v>18</v>
      </c>
      <c r="C18" s="71" t="s">
        <v>140</v>
      </c>
      <c r="D18" s="92" t="s">
        <v>141</v>
      </c>
      <c r="E18" s="86"/>
      <c r="F18" s="71" t="s">
        <v>128</v>
      </c>
      <c r="G18" s="12">
        <v>1</v>
      </c>
      <c r="H18" s="64">
        <v>0</v>
      </c>
      <c r="I18" s="64">
        <f>ROUND(G18*H18,2)</f>
        <v>0</v>
      </c>
      <c r="K18" s="45"/>
      <c r="Z18" s="12">
        <f>ROUND(IF(AQ18="5",BJ18,0),2)</f>
        <v>0</v>
      </c>
      <c r="AB18" s="12">
        <f>ROUND(IF(AQ18="1",BH18,0),2)</f>
        <v>0</v>
      </c>
      <c r="AC18" s="12">
        <f>ROUND(IF(AQ18="1",BI18,0),2)</f>
        <v>0</v>
      </c>
      <c r="AD18" s="12">
        <f>ROUND(IF(AQ18="7",BH18,0),2)</f>
        <v>0</v>
      </c>
      <c r="AE18" s="12">
        <f>ROUND(IF(AQ18="7",BI18,0),2)</f>
        <v>0</v>
      </c>
      <c r="AF18" s="12">
        <f>ROUND(IF(AQ18="2",BH18,0),2)</f>
        <v>0</v>
      </c>
      <c r="AG18" s="12">
        <f>ROUND(IF(AQ18="2",BI18,0),2)</f>
        <v>0</v>
      </c>
      <c r="AH18" s="12">
        <f>ROUND(IF(AQ18="0",BJ18,0),2)</f>
        <v>0</v>
      </c>
      <c r="AI18" s="41" t="s">
        <v>18</v>
      </c>
      <c r="AJ18" s="12">
        <f>IF(AN18=0,I18,0)</f>
        <v>0</v>
      </c>
      <c r="AK18" s="12">
        <f>IF(AN18=12,I18,0)</f>
        <v>0</v>
      </c>
      <c r="AL18" s="12">
        <f>IF(AN18=21,I18,0)</f>
        <v>0</v>
      </c>
      <c r="AN18" s="12">
        <v>21</v>
      </c>
      <c r="AO18" s="12">
        <f>H18*0</f>
        <v>0</v>
      </c>
      <c r="AP18" s="12">
        <f>H18*(1-0)</f>
        <v>0</v>
      </c>
      <c r="AQ18" s="11" t="s">
        <v>125</v>
      </c>
      <c r="AV18" s="12">
        <f>ROUND(AW18+AX18,2)</f>
        <v>0</v>
      </c>
      <c r="AW18" s="12">
        <f>ROUND(G18*AO18,2)</f>
        <v>0</v>
      </c>
      <c r="AX18" s="12">
        <f>ROUND(G18*AP18,2)</f>
        <v>0</v>
      </c>
      <c r="AY18" s="11" t="s">
        <v>129</v>
      </c>
      <c r="AZ18" s="11" t="s">
        <v>130</v>
      </c>
      <c r="BA18" s="41" t="s">
        <v>131</v>
      </c>
      <c r="BC18" s="12">
        <f>AW18+AX18</f>
        <v>0</v>
      </c>
      <c r="BD18" s="12">
        <f>H18/(100-BE18)*100</f>
        <v>0</v>
      </c>
      <c r="BE18" s="12">
        <v>0</v>
      </c>
      <c r="BF18" s="12">
        <f>18</f>
        <v>18</v>
      </c>
      <c r="BH18" s="12">
        <f>G18*AO18</f>
        <v>0</v>
      </c>
      <c r="BI18" s="12">
        <f>G18*AP18</f>
        <v>0</v>
      </c>
      <c r="BJ18" s="12">
        <f>G18*H18</f>
        <v>0</v>
      </c>
      <c r="BK18" s="12"/>
      <c r="BL18" s="12">
        <v>0</v>
      </c>
      <c r="BW18" s="12">
        <v>21</v>
      </c>
      <c r="BX18" s="73" t="s">
        <v>141</v>
      </c>
    </row>
    <row r="19" spans="1:76" x14ac:dyDescent="0.25">
      <c r="A19" s="75" t="s">
        <v>142</v>
      </c>
      <c r="B19" s="71" t="s">
        <v>18</v>
      </c>
      <c r="C19" s="71" t="s">
        <v>143</v>
      </c>
      <c r="D19" s="92" t="s">
        <v>144</v>
      </c>
      <c r="E19" s="86"/>
      <c r="F19" s="71" t="s">
        <v>128</v>
      </c>
      <c r="G19" s="12">
        <v>1</v>
      </c>
      <c r="H19" s="64">
        <v>0</v>
      </c>
      <c r="I19" s="64">
        <f>ROUND(G19*H19,2)</f>
        <v>0</v>
      </c>
      <c r="K19" s="45"/>
      <c r="Z19" s="12">
        <f>ROUND(IF(AQ19="5",BJ19,0),2)</f>
        <v>0</v>
      </c>
      <c r="AB19" s="12">
        <f>ROUND(IF(AQ19="1",BH19,0),2)</f>
        <v>0</v>
      </c>
      <c r="AC19" s="12">
        <f>ROUND(IF(AQ19="1",BI19,0),2)</f>
        <v>0</v>
      </c>
      <c r="AD19" s="12">
        <f>ROUND(IF(AQ19="7",BH19,0),2)</f>
        <v>0</v>
      </c>
      <c r="AE19" s="12">
        <f>ROUND(IF(AQ19="7",BI19,0),2)</f>
        <v>0</v>
      </c>
      <c r="AF19" s="12">
        <f>ROUND(IF(AQ19="2",BH19,0),2)</f>
        <v>0</v>
      </c>
      <c r="AG19" s="12">
        <f>ROUND(IF(AQ19="2",BI19,0),2)</f>
        <v>0</v>
      </c>
      <c r="AH19" s="12">
        <f>ROUND(IF(AQ19="0",BJ19,0),2)</f>
        <v>0</v>
      </c>
      <c r="AI19" s="41" t="s">
        <v>18</v>
      </c>
      <c r="AJ19" s="12">
        <f>IF(AN19=0,I19,0)</f>
        <v>0</v>
      </c>
      <c r="AK19" s="12">
        <f>IF(AN19=12,I19,0)</f>
        <v>0</v>
      </c>
      <c r="AL19" s="12">
        <f>IF(AN19=21,I19,0)</f>
        <v>0</v>
      </c>
      <c r="AN19" s="12">
        <v>21</v>
      </c>
      <c r="AO19" s="12">
        <f>H19*0</f>
        <v>0</v>
      </c>
      <c r="AP19" s="12">
        <f>H19*(1-0)</f>
        <v>0</v>
      </c>
      <c r="AQ19" s="11" t="s">
        <v>125</v>
      </c>
      <c r="AV19" s="12">
        <f>ROUND(AW19+AX19,2)</f>
        <v>0</v>
      </c>
      <c r="AW19" s="12">
        <f>ROUND(G19*AO19,2)</f>
        <v>0</v>
      </c>
      <c r="AX19" s="12">
        <f>ROUND(G19*AP19,2)</f>
        <v>0</v>
      </c>
      <c r="AY19" s="11" t="s">
        <v>129</v>
      </c>
      <c r="AZ19" s="11" t="s">
        <v>130</v>
      </c>
      <c r="BA19" s="41" t="s">
        <v>131</v>
      </c>
      <c r="BC19" s="12">
        <f>AW19+AX19</f>
        <v>0</v>
      </c>
      <c r="BD19" s="12">
        <f>H19/(100-BE19)*100</f>
        <v>0</v>
      </c>
      <c r="BE19" s="12">
        <v>0</v>
      </c>
      <c r="BF19" s="12">
        <f>19</f>
        <v>19</v>
      </c>
      <c r="BH19" s="12">
        <f>G19*AO19</f>
        <v>0</v>
      </c>
      <c r="BI19" s="12">
        <f>G19*AP19</f>
        <v>0</v>
      </c>
      <c r="BJ19" s="12">
        <f>G19*H19</f>
        <v>0</v>
      </c>
      <c r="BK19" s="12"/>
      <c r="BL19" s="12">
        <v>0</v>
      </c>
      <c r="BW19" s="12">
        <v>21</v>
      </c>
      <c r="BX19" s="73" t="s">
        <v>144</v>
      </c>
    </row>
    <row r="20" spans="1:76" x14ac:dyDescent="0.25">
      <c r="A20" s="51" t="s">
        <v>18</v>
      </c>
      <c r="B20" s="80" t="s">
        <v>18</v>
      </c>
      <c r="C20" s="80" t="s">
        <v>22</v>
      </c>
      <c r="D20" s="170" t="s">
        <v>23</v>
      </c>
      <c r="E20" s="171"/>
      <c r="F20" s="52" t="s">
        <v>3</v>
      </c>
      <c r="G20" s="52" t="s">
        <v>3</v>
      </c>
      <c r="H20" s="65" t="s">
        <v>3</v>
      </c>
      <c r="I20" s="57">
        <f>SUM(I21:I21)</f>
        <v>0</v>
      </c>
      <c r="K20" s="45"/>
      <c r="AI20" s="41" t="s">
        <v>18</v>
      </c>
      <c r="AS20" s="36">
        <f>SUM(AJ21:AJ21)</f>
        <v>0</v>
      </c>
      <c r="AT20" s="36">
        <f>SUM(AK21:AK21)</f>
        <v>0</v>
      </c>
      <c r="AU20" s="36">
        <f>SUM(AL21:AL21)</f>
        <v>0</v>
      </c>
    </row>
    <row r="21" spans="1:76" x14ac:dyDescent="0.25">
      <c r="A21" s="75" t="s">
        <v>145</v>
      </c>
      <c r="B21" s="71" t="s">
        <v>18</v>
      </c>
      <c r="C21" s="71" t="s">
        <v>146</v>
      </c>
      <c r="D21" s="92" t="s">
        <v>147</v>
      </c>
      <c r="E21" s="86"/>
      <c r="F21" s="71" t="s">
        <v>148</v>
      </c>
      <c r="G21" s="12">
        <v>1.3</v>
      </c>
      <c r="H21" s="64">
        <v>0</v>
      </c>
      <c r="I21" s="64">
        <f>ROUND(G21*H21,2)</f>
        <v>0</v>
      </c>
      <c r="K21" s="45"/>
      <c r="Z21" s="12">
        <f>ROUND(IF(AQ21="5",BJ21,0),2)</f>
        <v>0</v>
      </c>
      <c r="AB21" s="12">
        <f>ROUND(IF(AQ21="1",BH21,0),2)</f>
        <v>0</v>
      </c>
      <c r="AC21" s="12">
        <f>ROUND(IF(AQ21="1",BI21,0),2)</f>
        <v>0</v>
      </c>
      <c r="AD21" s="12">
        <f>ROUND(IF(AQ21="7",BH21,0),2)</f>
        <v>0</v>
      </c>
      <c r="AE21" s="12">
        <f>ROUND(IF(AQ21="7",BI21,0),2)</f>
        <v>0</v>
      </c>
      <c r="AF21" s="12">
        <f>ROUND(IF(AQ21="2",BH21,0),2)</f>
        <v>0</v>
      </c>
      <c r="AG21" s="12">
        <f>ROUND(IF(AQ21="2",BI21,0),2)</f>
        <v>0</v>
      </c>
      <c r="AH21" s="12">
        <f>ROUND(IF(AQ21="0",BJ21,0),2)</f>
        <v>0</v>
      </c>
      <c r="AI21" s="41" t="s">
        <v>18</v>
      </c>
      <c r="AJ21" s="12">
        <f>IF(AN21=0,I21,0)</f>
        <v>0</v>
      </c>
      <c r="AK21" s="12">
        <f>IF(AN21=12,I21,0)</f>
        <v>0</v>
      </c>
      <c r="AL21" s="12">
        <f>IF(AN21=21,I21,0)</f>
        <v>0</v>
      </c>
      <c r="AN21" s="12">
        <v>21</v>
      </c>
      <c r="AO21" s="12">
        <f>H21*0</f>
        <v>0</v>
      </c>
      <c r="AP21" s="12">
        <f>H21*(1-0)</f>
        <v>0</v>
      </c>
      <c r="AQ21" s="11" t="s">
        <v>125</v>
      </c>
      <c r="AV21" s="12">
        <f>ROUND(AW21+AX21,2)</f>
        <v>0</v>
      </c>
      <c r="AW21" s="12">
        <f>ROUND(G21*AO21,2)</f>
        <v>0</v>
      </c>
      <c r="AX21" s="12">
        <f>ROUND(G21*AP21,2)</f>
        <v>0</v>
      </c>
      <c r="AY21" s="11" t="s">
        <v>149</v>
      </c>
      <c r="AZ21" s="11" t="s">
        <v>150</v>
      </c>
      <c r="BA21" s="41" t="s">
        <v>131</v>
      </c>
      <c r="BC21" s="12">
        <f>AW21+AX21</f>
        <v>0</v>
      </c>
      <c r="BD21" s="12">
        <f>H21/(100-BE21)*100</f>
        <v>0</v>
      </c>
      <c r="BE21" s="12">
        <v>0</v>
      </c>
      <c r="BF21" s="12">
        <f>21</f>
        <v>21</v>
      </c>
      <c r="BH21" s="12">
        <f>G21*AO21</f>
        <v>0</v>
      </c>
      <c r="BI21" s="12">
        <f>G21*AP21</f>
        <v>0</v>
      </c>
      <c r="BJ21" s="12">
        <f>G21*H21</f>
        <v>0</v>
      </c>
      <c r="BK21" s="12"/>
      <c r="BL21" s="12">
        <v>13</v>
      </c>
      <c r="BW21" s="12">
        <v>21</v>
      </c>
      <c r="BX21" s="73" t="s">
        <v>147</v>
      </c>
    </row>
    <row r="22" spans="1:76" x14ac:dyDescent="0.25">
      <c r="A22" s="48"/>
      <c r="D22" s="49" t="s">
        <v>151</v>
      </c>
      <c r="E22" s="49" t="s">
        <v>18</v>
      </c>
      <c r="G22" s="50">
        <v>0</v>
      </c>
      <c r="K22" s="45"/>
    </row>
    <row r="23" spans="1:76" x14ac:dyDescent="0.25">
      <c r="A23" s="48"/>
      <c r="D23" s="49" t="s">
        <v>152</v>
      </c>
      <c r="E23" s="49" t="s">
        <v>18</v>
      </c>
      <c r="G23" s="50">
        <v>0</v>
      </c>
      <c r="K23" s="45"/>
    </row>
    <row r="24" spans="1:76" x14ac:dyDescent="0.25">
      <c r="A24" s="48"/>
      <c r="D24" s="49" t="s">
        <v>153</v>
      </c>
      <c r="E24" s="49" t="s">
        <v>18</v>
      </c>
      <c r="G24" s="50">
        <v>1.3</v>
      </c>
      <c r="K24" s="45"/>
    </row>
    <row r="25" spans="1:76" x14ac:dyDescent="0.25">
      <c r="A25" s="51" t="s">
        <v>18</v>
      </c>
      <c r="B25" s="80" t="s">
        <v>18</v>
      </c>
      <c r="C25" s="80" t="s">
        <v>24</v>
      </c>
      <c r="D25" s="170" t="s">
        <v>25</v>
      </c>
      <c r="E25" s="171"/>
      <c r="F25" s="52" t="s">
        <v>3</v>
      </c>
      <c r="G25" s="52" t="s">
        <v>3</v>
      </c>
      <c r="H25" s="65" t="s">
        <v>3</v>
      </c>
      <c r="I25" s="57">
        <f>SUM(I26:I27)</f>
        <v>0</v>
      </c>
      <c r="K25" s="45"/>
      <c r="AI25" s="41" t="s">
        <v>18</v>
      </c>
      <c r="AS25" s="36">
        <f>SUM(AJ26:AJ27)</f>
        <v>0</v>
      </c>
      <c r="AT25" s="36">
        <f>SUM(AK26:AK27)</f>
        <v>0</v>
      </c>
      <c r="AU25" s="36">
        <f>SUM(AL26:AL27)</f>
        <v>0</v>
      </c>
    </row>
    <row r="26" spans="1:76" x14ac:dyDescent="0.25">
      <c r="A26" s="75" t="s">
        <v>154</v>
      </c>
      <c r="B26" s="71" t="s">
        <v>18</v>
      </c>
      <c r="C26" s="71" t="s">
        <v>155</v>
      </c>
      <c r="D26" s="92" t="s">
        <v>156</v>
      </c>
      <c r="E26" s="86"/>
      <c r="F26" s="71" t="s">
        <v>148</v>
      </c>
      <c r="G26" s="12">
        <v>1.3</v>
      </c>
      <c r="H26" s="64">
        <v>0</v>
      </c>
      <c r="I26" s="64">
        <f>ROUND(G26*H26,2)</f>
        <v>0</v>
      </c>
      <c r="K26" s="45"/>
      <c r="Z26" s="12">
        <f>ROUND(IF(AQ26="5",BJ26,0),2)</f>
        <v>0</v>
      </c>
      <c r="AB26" s="12">
        <f>ROUND(IF(AQ26="1",BH26,0),2)</f>
        <v>0</v>
      </c>
      <c r="AC26" s="12">
        <f>ROUND(IF(AQ26="1",BI26,0),2)</f>
        <v>0</v>
      </c>
      <c r="AD26" s="12">
        <f>ROUND(IF(AQ26="7",BH26,0),2)</f>
        <v>0</v>
      </c>
      <c r="AE26" s="12">
        <f>ROUND(IF(AQ26="7",BI26,0),2)</f>
        <v>0</v>
      </c>
      <c r="AF26" s="12">
        <f>ROUND(IF(AQ26="2",BH26,0),2)</f>
        <v>0</v>
      </c>
      <c r="AG26" s="12">
        <f>ROUND(IF(AQ26="2",BI26,0),2)</f>
        <v>0</v>
      </c>
      <c r="AH26" s="12">
        <f>ROUND(IF(AQ26="0",BJ26,0),2)</f>
        <v>0</v>
      </c>
      <c r="AI26" s="41" t="s">
        <v>18</v>
      </c>
      <c r="AJ26" s="12">
        <f>IF(AN26=0,I26,0)</f>
        <v>0</v>
      </c>
      <c r="AK26" s="12">
        <f>IF(AN26=12,I26,0)</f>
        <v>0</v>
      </c>
      <c r="AL26" s="12">
        <f>IF(AN26=21,I26,0)</f>
        <v>0</v>
      </c>
      <c r="AN26" s="12">
        <v>21</v>
      </c>
      <c r="AO26" s="12">
        <f>H26*0</f>
        <v>0</v>
      </c>
      <c r="AP26" s="12">
        <f>H26*(1-0)</f>
        <v>0</v>
      </c>
      <c r="AQ26" s="11" t="s">
        <v>125</v>
      </c>
      <c r="AV26" s="12">
        <f>ROUND(AW26+AX26,2)</f>
        <v>0</v>
      </c>
      <c r="AW26" s="12">
        <f>ROUND(G26*AO26,2)</f>
        <v>0</v>
      </c>
      <c r="AX26" s="12">
        <f>ROUND(G26*AP26,2)</f>
        <v>0</v>
      </c>
      <c r="AY26" s="11" t="s">
        <v>157</v>
      </c>
      <c r="AZ26" s="11" t="s">
        <v>150</v>
      </c>
      <c r="BA26" s="41" t="s">
        <v>131</v>
      </c>
      <c r="BC26" s="12">
        <f>AW26+AX26</f>
        <v>0</v>
      </c>
      <c r="BD26" s="12">
        <f>H26/(100-BE26)*100</f>
        <v>0</v>
      </c>
      <c r="BE26" s="12">
        <v>0</v>
      </c>
      <c r="BF26" s="12">
        <f>26</f>
        <v>26</v>
      </c>
      <c r="BH26" s="12">
        <f>G26*AO26</f>
        <v>0</v>
      </c>
      <c r="BI26" s="12">
        <f>G26*AP26</f>
        <v>0</v>
      </c>
      <c r="BJ26" s="12">
        <f>G26*H26</f>
        <v>0</v>
      </c>
      <c r="BK26" s="12"/>
      <c r="BL26" s="12">
        <v>16</v>
      </c>
      <c r="BW26" s="12">
        <v>21</v>
      </c>
      <c r="BX26" s="73" t="s">
        <v>156</v>
      </c>
    </row>
    <row r="27" spans="1:76" x14ac:dyDescent="0.25">
      <c r="A27" s="75" t="s">
        <v>158</v>
      </c>
      <c r="B27" s="71" t="s">
        <v>18</v>
      </c>
      <c r="C27" s="71" t="s">
        <v>159</v>
      </c>
      <c r="D27" s="92" t="s">
        <v>160</v>
      </c>
      <c r="E27" s="86"/>
      <c r="F27" s="71" t="s">
        <v>148</v>
      </c>
      <c r="G27" s="12">
        <v>7.8</v>
      </c>
      <c r="H27" s="64">
        <v>0</v>
      </c>
      <c r="I27" s="64">
        <f>ROUND(G27*H27,2)</f>
        <v>0</v>
      </c>
      <c r="K27" s="45"/>
      <c r="Z27" s="12">
        <f>ROUND(IF(AQ27="5",BJ27,0),2)</f>
        <v>0</v>
      </c>
      <c r="AB27" s="12">
        <f>ROUND(IF(AQ27="1",BH27,0),2)</f>
        <v>0</v>
      </c>
      <c r="AC27" s="12">
        <f>ROUND(IF(AQ27="1",BI27,0),2)</f>
        <v>0</v>
      </c>
      <c r="AD27" s="12">
        <f>ROUND(IF(AQ27="7",BH27,0),2)</f>
        <v>0</v>
      </c>
      <c r="AE27" s="12">
        <f>ROUND(IF(AQ27="7",BI27,0),2)</f>
        <v>0</v>
      </c>
      <c r="AF27" s="12">
        <f>ROUND(IF(AQ27="2",BH27,0),2)</f>
        <v>0</v>
      </c>
      <c r="AG27" s="12">
        <f>ROUND(IF(AQ27="2",BI27,0),2)</f>
        <v>0</v>
      </c>
      <c r="AH27" s="12">
        <f>ROUND(IF(AQ27="0",BJ27,0),2)</f>
        <v>0</v>
      </c>
      <c r="AI27" s="41" t="s">
        <v>18</v>
      </c>
      <c r="AJ27" s="12">
        <f>IF(AN27=0,I27,0)</f>
        <v>0</v>
      </c>
      <c r="AK27" s="12">
        <f>IF(AN27=12,I27,0)</f>
        <v>0</v>
      </c>
      <c r="AL27" s="12">
        <f>IF(AN27=21,I27,0)</f>
        <v>0</v>
      </c>
      <c r="AN27" s="12">
        <v>21</v>
      </c>
      <c r="AO27" s="12">
        <f>H27*0</f>
        <v>0</v>
      </c>
      <c r="AP27" s="12">
        <f>H27*(1-0)</f>
        <v>0</v>
      </c>
      <c r="AQ27" s="11" t="s">
        <v>125</v>
      </c>
      <c r="AV27" s="12">
        <f>ROUND(AW27+AX27,2)</f>
        <v>0</v>
      </c>
      <c r="AW27" s="12">
        <f>ROUND(G27*AO27,2)</f>
        <v>0</v>
      </c>
      <c r="AX27" s="12">
        <f>ROUND(G27*AP27,2)</f>
        <v>0</v>
      </c>
      <c r="AY27" s="11" t="s">
        <v>157</v>
      </c>
      <c r="AZ27" s="11" t="s">
        <v>150</v>
      </c>
      <c r="BA27" s="41" t="s">
        <v>131</v>
      </c>
      <c r="BC27" s="12">
        <f>AW27+AX27</f>
        <v>0</v>
      </c>
      <c r="BD27" s="12">
        <f>H27/(100-BE27)*100</f>
        <v>0</v>
      </c>
      <c r="BE27" s="12">
        <v>0</v>
      </c>
      <c r="BF27" s="12">
        <f>27</f>
        <v>27</v>
      </c>
      <c r="BH27" s="12">
        <f>G27*AO27</f>
        <v>0</v>
      </c>
      <c r="BI27" s="12">
        <f>G27*AP27</f>
        <v>0</v>
      </c>
      <c r="BJ27" s="12">
        <f>G27*H27</f>
        <v>0</v>
      </c>
      <c r="BK27" s="12"/>
      <c r="BL27" s="12">
        <v>16</v>
      </c>
      <c r="BW27" s="12">
        <v>21</v>
      </c>
      <c r="BX27" s="73" t="s">
        <v>160</v>
      </c>
    </row>
    <row r="28" spans="1:76" x14ac:dyDescent="0.25">
      <c r="A28" s="48"/>
      <c r="D28" s="49" t="s">
        <v>161</v>
      </c>
      <c r="E28" s="49" t="s">
        <v>18</v>
      </c>
      <c r="G28" s="50">
        <v>7.8</v>
      </c>
      <c r="K28" s="45"/>
    </row>
    <row r="29" spans="1:76" x14ac:dyDescent="0.25">
      <c r="A29" s="51" t="s">
        <v>18</v>
      </c>
      <c r="B29" s="80" t="s">
        <v>18</v>
      </c>
      <c r="C29" s="80" t="s">
        <v>26</v>
      </c>
      <c r="D29" s="170" t="s">
        <v>27</v>
      </c>
      <c r="E29" s="171"/>
      <c r="F29" s="52" t="s">
        <v>3</v>
      </c>
      <c r="G29" s="52" t="s">
        <v>3</v>
      </c>
      <c r="H29" s="65" t="s">
        <v>3</v>
      </c>
      <c r="I29" s="57">
        <f>SUM(I30:I30)</f>
        <v>0</v>
      </c>
      <c r="K29" s="45"/>
      <c r="AI29" s="41" t="s">
        <v>18</v>
      </c>
      <c r="AS29" s="36">
        <f>SUM(AJ30:AJ30)</f>
        <v>0</v>
      </c>
      <c r="AT29" s="36">
        <f>SUM(AK30:AK30)</f>
        <v>0</v>
      </c>
      <c r="AU29" s="36">
        <f>SUM(AL30:AL30)</f>
        <v>0</v>
      </c>
    </row>
    <row r="30" spans="1:76" x14ac:dyDescent="0.25">
      <c r="A30" s="75" t="s">
        <v>162</v>
      </c>
      <c r="B30" s="71" t="s">
        <v>18</v>
      </c>
      <c r="C30" s="71" t="s">
        <v>163</v>
      </c>
      <c r="D30" s="92" t="s">
        <v>164</v>
      </c>
      <c r="E30" s="86"/>
      <c r="F30" s="71" t="s">
        <v>148</v>
      </c>
      <c r="G30" s="12">
        <v>1.3</v>
      </c>
      <c r="H30" s="64">
        <v>0</v>
      </c>
      <c r="I30" s="64">
        <f>ROUND(G30*H30,2)</f>
        <v>0</v>
      </c>
      <c r="K30" s="45"/>
      <c r="Z30" s="12">
        <f>ROUND(IF(AQ30="5",BJ30,0),2)</f>
        <v>0</v>
      </c>
      <c r="AB30" s="12">
        <f>ROUND(IF(AQ30="1",BH30,0),2)</f>
        <v>0</v>
      </c>
      <c r="AC30" s="12">
        <f>ROUND(IF(AQ30="1",BI30,0),2)</f>
        <v>0</v>
      </c>
      <c r="AD30" s="12">
        <f>ROUND(IF(AQ30="7",BH30,0),2)</f>
        <v>0</v>
      </c>
      <c r="AE30" s="12">
        <f>ROUND(IF(AQ30="7",BI30,0),2)</f>
        <v>0</v>
      </c>
      <c r="AF30" s="12">
        <f>ROUND(IF(AQ30="2",BH30,0),2)</f>
        <v>0</v>
      </c>
      <c r="AG30" s="12">
        <f>ROUND(IF(AQ30="2",BI30,0),2)</f>
        <v>0</v>
      </c>
      <c r="AH30" s="12">
        <f>ROUND(IF(AQ30="0",BJ30,0),2)</f>
        <v>0</v>
      </c>
      <c r="AI30" s="41" t="s">
        <v>18</v>
      </c>
      <c r="AJ30" s="12">
        <f>IF(AN30=0,I30,0)</f>
        <v>0</v>
      </c>
      <c r="AK30" s="12">
        <f>IF(AN30=12,I30,0)</f>
        <v>0</v>
      </c>
      <c r="AL30" s="12">
        <f>IF(AN30=21,I30,0)</f>
        <v>0</v>
      </c>
      <c r="AN30" s="12">
        <v>21</v>
      </c>
      <c r="AO30" s="12">
        <f>H30*0</f>
        <v>0</v>
      </c>
      <c r="AP30" s="12">
        <f>H30*(1-0)</f>
        <v>0</v>
      </c>
      <c r="AQ30" s="11" t="s">
        <v>125</v>
      </c>
      <c r="AV30" s="12">
        <f>ROUND(AW30+AX30,2)</f>
        <v>0</v>
      </c>
      <c r="AW30" s="12">
        <f>ROUND(G30*AO30,2)</f>
        <v>0</v>
      </c>
      <c r="AX30" s="12">
        <f>ROUND(G30*AP30,2)</f>
        <v>0</v>
      </c>
      <c r="AY30" s="11" t="s">
        <v>165</v>
      </c>
      <c r="AZ30" s="11" t="s">
        <v>150</v>
      </c>
      <c r="BA30" s="41" t="s">
        <v>131</v>
      </c>
      <c r="BC30" s="12">
        <f>AW30+AX30</f>
        <v>0</v>
      </c>
      <c r="BD30" s="12">
        <f>H30/(100-BE30)*100</f>
        <v>0</v>
      </c>
      <c r="BE30" s="12">
        <v>0</v>
      </c>
      <c r="BF30" s="12">
        <f>30</f>
        <v>30</v>
      </c>
      <c r="BH30" s="12">
        <f>G30*AO30</f>
        <v>0</v>
      </c>
      <c r="BI30" s="12">
        <f>G30*AP30</f>
        <v>0</v>
      </c>
      <c r="BJ30" s="12">
        <f>G30*H30</f>
        <v>0</v>
      </c>
      <c r="BK30" s="12"/>
      <c r="BL30" s="12">
        <v>19</v>
      </c>
      <c r="BW30" s="12">
        <v>21</v>
      </c>
      <c r="BX30" s="73" t="s">
        <v>164</v>
      </c>
    </row>
    <row r="31" spans="1:76" x14ac:dyDescent="0.25">
      <c r="A31" s="51" t="s">
        <v>18</v>
      </c>
      <c r="B31" s="80" t="s">
        <v>18</v>
      </c>
      <c r="C31" s="80" t="s">
        <v>28</v>
      </c>
      <c r="D31" s="170" t="s">
        <v>29</v>
      </c>
      <c r="E31" s="171"/>
      <c r="F31" s="52" t="s">
        <v>3</v>
      </c>
      <c r="G31" s="52" t="s">
        <v>3</v>
      </c>
      <c r="H31" s="65" t="s">
        <v>3</v>
      </c>
      <c r="I31" s="57">
        <f>SUM(I32:I51)</f>
        <v>0</v>
      </c>
      <c r="K31" s="45"/>
      <c r="AI31" s="41" t="s">
        <v>18</v>
      </c>
      <c r="AS31" s="36">
        <f>SUM(AJ32:AJ51)</f>
        <v>0</v>
      </c>
      <c r="AT31" s="36">
        <f>SUM(AK32:AK51)</f>
        <v>0</v>
      </c>
      <c r="AU31" s="36">
        <f>SUM(AL32:AL51)</f>
        <v>0</v>
      </c>
    </row>
    <row r="32" spans="1:76" x14ac:dyDescent="0.25">
      <c r="A32" s="75" t="s">
        <v>166</v>
      </c>
      <c r="B32" s="71" t="s">
        <v>18</v>
      </c>
      <c r="C32" s="71" t="s">
        <v>167</v>
      </c>
      <c r="D32" s="92" t="s">
        <v>168</v>
      </c>
      <c r="E32" s="86"/>
      <c r="F32" s="71" t="s">
        <v>169</v>
      </c>
      <c r="G32" s="12">
        <v>3290.85</v>
      </c>
      <c r="H32" s="64">
        <v>0</v>
      </c>
      <c r="I32" s="64">
        <f>ROUND(G32*H32,2)</f>
        <v>0</v>
      </c>
      <c r="K32" s="45"/>
      <c r="Z32" s="12">
        <f>ROUND(IF(AQ32="5",BJ32,0),2)</f>
        <v>0</v>
      </c>
      <c r="AB32" s="12">
        <f>ROUND(IF(AQ32="1",BH32,0),2)</f>
        <v>0</v>
      </c>
      <c r="AC32" s="12">
        <f>ROUND(IF(AQ32="1",BI32,0),2)</f>
        <v>0</v>
      </c>
      <c r="AD32" s="12">
        <f>ROUND(IF(AQ32="7",BH32,0),2)</f>
        <v>0</v>
      </c>
      <c r="AE32" s="12">
        <f>ROUND(IF(AQ32="7",BI32,0),2)</f>
        <v>0</v>
      </c>
      <c r="AF32" s="12">
        <f>ROUND(IF(AQ32="2",BH32,0),2)</f>
        <v>0</v>
      </c>
      <c r="AG32" s="12">
        <f>ROUND(IF(AQ32="2",BI32,0),2)</f>
        <v>0</v>
      </c>
      <c r="AH32" s="12">
        <f>ROUND(IF(AQ32="0",BJ32,0),2)</f>
        <v>0</v>
      </c>
      <c r="AI32" s="41" t="s">
        <v>18</v>
      </c>
      <c r="AJ32" s="12">
        <f>IF(AN32=0,I32,0)</f>
        <v>0</v>
      </c>
      <c r="AK32" s="12">
        <f>IF(AN32=12,I32,0)</f>
        <v>0</v>
      </c>
      <c r="AL32" s="12">
        <f>IF(AN32=21,I32,0)</f>
        <v>0</v>
      </c>
      <c r="AN32" s="12">
        <v>21</v>
      </c>
      <c r="AO32" s="12">
        <f>H32*0</f>
        <v>0</v>
      </c>
      <c r="AP32" s="12">
        <f>H32*(1-0)</f>
        <v>0</v>
      </c>
      <c r="AQ32" s="11" t="s">
        <v>125</v>
      </c>
      <c r="AV32" s="12">
        <f>ROUND(AW32+AX32,2)</f>
        <v>0</v>
      </c>
      <c r="AW32" s="12">
        <f>ROUND(G32*AO32,2)</f>
        <v>0</v>
      </c>
      <c r="AX32" s="12">
        <f>ROUND(G32*AP32,2)</f>
        <v>0</v>
      </c>
      <c r="AY32" s="11" t="s">
        <v>170</v>
      </c>
      <c r="AZ32" s="11" t="s">
        <v>150</v>
      </c>
      <c r="BA32" s="41" t="s">
        <v>131</v>
      </c>
      <c r="BC32" s="12">
        <f>AW32+AX32</f>
        <v>0</v>
      </c>
      <c r="BD32" s="12">
        <f>H32/(100-BE32)*100</f>
        <v>0</v>
      </c>
      <c r="BE32" s="12">
        <v>0</v>
      </c>
      <c r="BF32" s="12">
        <f>32</f>
        <v>32</v>
      </c>
      <c r="BH32" s="12">
        <f>G32*AO32</f>
        <v>0</v>
      </c>
      <c r="BI32" s="12">
        <f>G32*AP32</f>
        <v>0</v>
      </c>
      <c r="BJ32" s="12">
        <f>G32*H32</f>
        <v>0</v>
      </c>
      <c r="BK32" s="12"/>
      <c r="BL32" s="12">
        <v>11</v>
      </c>
      <c r="BW32" s="12">
        <v>21</v>
      </c>
      <c r="BX32" s="73" t="s">
        <v>168</v>
      </c>
    </row>
    <row r="33" spans="1:11" x14ac:dyDescent="0.25">
      <c r="A33" s="48"/>
      <c r="D33" s="49" t="s">
        <v>171</v>
      </c>
      <c r="E33" s="49" t="s">
        <v>18</v>
      </c>
      <c r="G33" s="50">
        <v>0</v>
      </c>
      <c r="K33" s="45"/>
    </row>
    <row r="34" spans="1:11" x14ac:dyDescent="0.25">
      <c r="A34" s="48"/>
      <c r="D34" s="49" t="s">
        <v>172</v>
      </c>
      <c r="E34" s="49" t="s">
        <v>18</v>
      </c>
      <c r="G34" s="50">
        <v>0</v>
      </c>
      <c r="K34" s="45"/>
    </row>
    <row r="35" spans="1:11" x14ac:dyDescent="0.25">
      <c r="A35" s="48"/>
      <c r="D35" s="49" t="s">
        <v>173</v>
      </c>
      <c r="E35" s="49" t="s">
        <v>18</v>
      </c>
      <c r="G35" s="50">
        <v>1199.25</v>
      </c>
      <c r="K35" s="45"/>
    </row>
    <row r="36" spans="1:11" x14ac:dyDescent="0.25">
      <c r="A36" s="48"/>
      <c r="D36" s="49" t="s">
        <v>174</v>
      </c>
      <c r="E36" s="49" t="s">
        <v>18</v>
      </c>
      <c r="G36" s="50">
        <v>27</v>
      </c>
      <c r="K36" s="45"/>
    </row>
    <row r="37" spans="1:11" x14ac:dyDescent="0.25">
      <c r="A37" s="48"/>
      <c r="D37" s="49" t="s">
        <v>175</v>
      </c>
      <c r="E37" s="49" t="s">
        <v>18</v>
      </c>
      <c r="G37" s="50">
        <v>20</v>
      </c>
      <c r="K37" s="45"/>
    </row>
    <row r="38" spans="1:11" x14ac:dyDescent="0.25">
      <c r="A38" s="48"/>
      <c r="D38" s="49" t="s">
        <v>176</v>
      </c>
      <c r="E38" s="49" t="s">
        <v>18</v>
      </c>
      <c r="G38" s="50">
        <v>156</v>
      </c>
      <c r="K38" s="45"/>
    </row>
    <row r="39" spans="1:11" x14ac:dyDescent="0.25">
      <c r="A39" s="48"/>
      <c r="D39" s="49" t="s">
        <v>177</v>
      </c>
      <c r="E39" s="49" t="s">
        <v>18</v>
      </c>
      <c r="G39" s="50">
        <v>32.700000000000003</v>
      </c>
      <c r="K39" s="45"/>
    </row>
    <row r="40" spans="1:11" x14ac:dyDescent="0.25">
      <c r="A40" s="48"/>
      <c r="D40" s="49" t="s">
        <v>178</v>
      </c>
      <c r="E40" s="49" t="s">
        <v>18</v>
      </c>
      <c r="G40" s="50">
        <v>0</v>
      </c>
      <c r="K40" s="45"/>
    </row>
    <row r="41" spans="1:11" x14ac:dyDescent="0.25">
      <c r="A41" s="48"/>
      <c r="D41" s="49" t="s">
        <v>179</v>
      </c>
      <c r="E41" s="49" t="s">
        <v>18</v>
      </c>
      <c r="G41" s="50">
        <v>249</v>
      </c>
      <c r="K41" s="45"/>
    </row>
    <row r="42" spans="1:11" x14ac:dyDescent="0.25">
      <c r="A42" s="48"/>
      <c r="D42" s="49" t="s">
        <v>180</v>
      </c>
      <c r="E42" s="49" t="s">
        <v>18</v>
      </c>
      <c r="G42" s="50">
        <v>0</v>
      </c>
      <c r="K42" s="45"/>
    </row>
    <row r="43" spans="1:11" x14ac:dyDescent="0.25">
      <c r="A43" s="48"/>
      <c r="D43" s="49" t="s">
        <v>181</v>
      </c>
      <c r="E43" s="49" t="s">
        <v>18</v>
      </c>
      <c r="G43" s="50">
        <v>438.75</v>
      </c>
      <c r="K43" s="45"/>
    </row>
    <row r="44" spans="1:11" x14ac:dyDescent="0.25">
      <c r="A44" s="48"/>
      <c r="D44" s="49" t="s">
        <v>182</v>
      </c>
      <c r="E44" s="49" t="s">
        <v>18</v>
      </c>
      <c r="G44" s="50">
        <v>27</v>
      </c>
      <c r="K44" s="45"/>
    </row>
    <row r="45" spans="1:11" x14ac:dyDescent="0.25">
      <c r="A45" s="48"/>
      <c r="D45" s="49" t="s">
        <v>183</v>
      </c>
      <c r="E45" s="49" t="s">
        <v>18</v>
      </c>
      <c r="G45" s="50">
        <v>0</v>
      </c>
      <c r="K45" s="45"/>
    </row>
    <row r="46" spans="1:11" x14ac:dyDescent="0.25">
      <c r="A46" s="48"/>
      <c r="D46" s="49" t="s">
        <v>184</v>
      </c>
      <c r="E46" s="49" t="s">
        <v>18</v>
      </c>
      <c r="G46" s="50">
        <v>119.25</v>
      </c>
      <c r="K46" s="45"/>
    </row>
    <row r="47" spans="1:11" x14ac:dyDescent="0.25">
      <c r="A47" s="48"/>
      <c r="D47" s="49" t="s">
        <v>185</v>
      </c>
      <c r="E47" s="49" t="s">
        <v>18</v>
      </c>
      <c r="G47" s="50">
        <v>0</v>
      </c>
      <c r="K47" s="45"/>
    </row>
    <row r="48" spans="1:11" x14ac:dyDescent="0.25">
      <c r="A48" s="48"/>
      <c r="D48" s="49" t="s">
        <v>186</v>
      </c>
      <c r="E48" s="49" t="s">
        <v>18</v>
      </c>
      <c r="G48" s="50">
        <v>496.9</v>
      </c>
      <c r="K48" s="45"/>
    </row>
    <row r="49" spans="1:76" x14ac:dyDescent="0.25">
      <c r="A49" s="48"/>
      <c r="D49" s="49" t="s">
        <v>187</v>
      </c>
      <c r="E49" s="49" t="s">
        <v>18</v>
      </c>
      <c r="G49" s="50">
        <v>0</v>
      </c>
      <c r="K49" s="45"/>
    </row>
    <row r="50" spans="1:76" x14ac:dyDescent="0.25">
      <c r="A50" s="48"/>
      <c r="D50" s="49" t="s">
        <v>188</v>
      </c>
      <c r="E50" s="49" t="s">
        <v>18</v>
      </c>
      <c r="G50" s="50">
        <v>525</v>
      </c>
      <c r="K50" s="45"/>
    </row>
    <row r="51" spans="1:76" x14ac:dyDescent="0.25">
      <c r="A51" s="75" t="s">
        <v>28</v>
      </c>
      <c r="B51" s="71" t="s">
        <v>18</v>
      </c>
      <c r="C51" s="71" t="s">
        <v>189</v>
      </c>
      <c r="D51" s="92" t="s">
        <v>190</v>
      </c>
      <c r="E51" s="86"/>
      <c r="F51" s="71" t="s">
        <v>191</v>
      </c>
      <c r="G51" s="12">
        <v>3</v>
      </c>
      <c r="H51" s="64">
        <v>0</v>
      </c>
      <c r="I51" s="64">
        <f>ROUND(G51*H51,2)</f>
        <v>0</v>
      </c>
      <c r="K51" s="45"/>
      <c r="Z51" s="12">
        <f>ROUND(IF(AQ51="5",BJ51,0),2)</f>
        <v>0</v>
      </c>
      <c r="AB51" s="12">
        <f>ROUND(IF(AQ51="1",BH51,0),2)</f>
        <v>0</v>
      </c>
      <c r="AC51" s="12">
        <f>ROUND(IF(AQ51="1",BI51,0),2)</f>
        <v>0</v>
      </c>
      <c r="AD51" s="12">
        <f>ROUND(IF(AQ51="7",BH51,0),2)</f>
        <v>0</v>
      </c>
      <c r="AE51" s="12">
        <f>ROUND(IF(AQ51="7",BI51,0),2)</f>
        <v>0</v>
      </c>
      <c r="AF51" s="12">
        <f>ROUND(IF(AQ51="2",BH51,0),2)</f>
        <v>0</v>
      </c>
      <c r="AG51" s="12">
        <f>ROUND(IF(AQ51="2",BI51,0),2)</f>
        <v>0</v>
      </c>
      <c r="AH51" s="12">
        <f>ROUND(IF(AQ51="0",BJ51,0),2)</f>
        <v>0</v>
      </c>
      <c r="AI51" s="41" t="s">
        <v>18</v>
      </c>
      <c r="AJ51" s="12">
        <f>IF(AN51=0,I51,0)</f>
        <v>0</v>
      </c>
      <c r="AK51" s="12">
        <f>IF(AN51=12,I51,0)</f>
        <v>0</v>
      </c>
      <c r="AL51" s="12">
        <f>IF(AN51=21,I51,0)</f>
        <v>0</v>
      </c>
      <c r="AN51" s="12">
        <v>21</v>
      </c>
      <c r="AO51" s="12">
        <f>H51*0</f>
        <v>0</v>
      </c>
      <c r="AP51" s="12">
        <f>H51*(1-0)</f>
        <v>0</v>
      </c>
      <c r="AQ51" s="11" t="s">
        <v>125</v>
      </c>
      <c r="AV51" s="12">
        <f>ROUND(AW51+AX51,2)</f>
        <v>0</v>
      </c>
      <c r="AW51" s="12">
        <f>ROUND(G51*AO51,2)</f>
        <v>0</v>
      </c>
      <c r="AX51" s="12">
        <f>ROUND(G51*AP51,2)</f>
        <v>0</v>
      </c>
      <c r="AY51" s="11" t="s">
        <v>170</v>
      </c>
      <c r="AZ51" s="11" t="s">
        <v>150</v>
      </c>
      <c r="BA51" s="41" t="s">
        <v>131</v>
      </c>
      <c r="BC51" s="12">
        <f>AW51+AX51</f>
        <v>0</v>
      </c>
      <c r="BD51" s="12">
        <f>H51/(100-BE51)*100</f>
        <v>0</v>
      </c>
      <c r="BE51" s="12">
        <v>0</v>
      </c>
      <c r="BF51" s="12">
        <f>51</f>
        <v>51</v>
      </c>
      <c r="BH51" s="12">
        <f>G51*AO51</f>
        <v>0</v>
      </c>
      <c r="BI51" s="12">
        <f>G51*AP51</f>
        <v>0</v>
      </c>
      <c r="BJ51" s="12">
        <f>G51*H51</f>
        <v>0</v>
      </c>
      <c r="BK51" s="12"/>
      <c r="BL51" s="12">
        <v>11</v>
      </c>
      <c r="BW51" s="12">
        <v>21</v>
      </c>
      <c r="BX51" s="73" t="s">
        <v>190</v>
      </c>
    </row>
    <row r="52" spans="1:76" x14ac:dyDescent="0.25">
      <c r="A52" s="51" t="s">
        <v>18</v>
      </c>
      <c r="B52" s="80" t="s">
        <v>18</v>
      </c>
      <c r="C52" s="80" t="s">
        <v>30</v>
      </c>
      <c r="D52" s="170" t="s">
        <v>31</v>
      </c>
      <c r="E52" s="171"/>
      <c r="F52" s="52" t="s">
        <v>3</v>
      </c>
      <c r="G52" s="52" t="s">
        <v>3</v>
      </c>
      <c r="H52" s="65" t="s">
        <v>3</v>
      </c>
      <c r="I52" s="57">
        <f>SUM(I53:I58)</f>
        <v>0</v>
      </c>
      <c r="K52" s="45"/>
      <c r="AI52" s="41" t="s">
        <v>18</v>
      </c>
      <c r="AS52" s="36">
        <f>SUM(AJ53:AJ58)</f>
        <v>0</v>
      </c>
      <c r="AT52" s="36">
        <f>SUM(AK53:AK58)</f>
        <v>0</v>
      </c>
      <c r="AU52" s="36">
        <f>SUM(AL53:AL58)</f>
        <v>0</v>
      </c>
    </row>
    <row r="53" spans="1:76" x14ac:dyDescent="0.25">
      <c r="A53" s="75" t="s">
        <v>192</v>
      </c>
      <c r="B53" s="71" t="s">
        <v>18</v>
      </c>
      <c r="C53" s="71" t="s">
        <v>193</v>
      </c>
      <c r="D53" s="92" t="s">
        <v>194</v>
      </c>
      <c r="E53" s="86"/>
      <c r="F53" s="71" t="s">
        <v>195</v>
      </c>
      <c r="G53" s="12">
        <v>164.542</v>
      </c>
      <c r="H53" s="64">
        <v>0</v>
      </c>
      <c r="I53" s="64">
        <f>ROUND(G53*H53,2)</f>
        <v>0</v>
      </c>
      <c r="K53" s="45"/>
      <c r="Z53" s="12">
        <f>ROUND(IF(AQ53="5",BJ53,0),2)</f>
        <v>0</v>
      </c>
      <c r="AB53" s="12">
        <f>ROUND(IF(AQ53="1",BH53,0),2)</f>
        <v>0</v>
      </c>
      <c r="AC53" s="12">
        <f>ROUND(IF(AQ53="1",BI53,0),2)</f>
        <v>0</v>
      </c>
      <c r="AD53" s="12">
        <f>ROUND(IF(AQ53="7",BH53,0),2)</f>
        <v>0</v>
      </c>
      <c r="AE53" s="12">
        <f>ROUND(IF(AQ53="7",BI53,0),2)</f>
        <v>0</v>
      </c>
      <c r="AF53" s="12">
        <f>ROUND(IF(AQ53="2",BH53,0),2)</f>
        <v>0</v>
      </c>
      <c r="AG53" s="12">
        <f>ROUND(IF(AQ53="2",BI53,0),2)</f>
        <v>0</v>
      </c>
      <c r="AH53" s="12">
        <f>ROUND(IF(AQ53="0",BJ53,0),2)</f>
        <v>0</v>
      </c>
      <c r="AI53" s="41" t="s">
        <v>18</v>
      </c>
      <c r="AJ53" s="12">
        <f>IF(AN53=0,I53,0)</f>
        <v>0</v>
      </c>
      <c r="AK53" s="12">
        <f>IF(AN53=12,I53,0)</f>
        <v>0</v>
      </c>
      <c r="AL53" s="12">
        <f>IF(AN53=21,I53,0)</f>
        <v>0</v>
      </c>
      <c r="AN53" s="12">
        <v>21</v>
      </c>
      <c r="AO53" s="12">
        <f>H53*0.914890028</f>
        <v>0</v>
      </c>
      <c r="AP53" s="12">
        <f>H53*(1-0.914890028)</f>
        <v>0</v>
      </c>
      <c r="AQ53" s="11" t="s">
        <v>125</v>
      </c>
      <c r="AV53" s="12">
        <f>ROUND(AW53+AX53,2)</f>
        <v>0</v>
      </c>
      <c r="AW53" s="12">
        <f>ROUND(G53*AO53,2)</f>
        <v>0</v>
      </c>
      <c r="AX53" s="12">
        <f>ROUND(G53*AP53,2)</f>
        <v>0</v>
      </c>
      <c r="AY53" s="11" t="s">
        <v>196</v>
      </c>
      <c r="AZ53" s="11" t="s">
        <v>197</v>
      </c>
      <c r="BA53" s="41" t="s">
        <v>131</v>
      </c>
      <c r="BC53" s="12">
        <f>AW53+AX53</f>
        <v>0</v>
      </c>
      <c r="BD53" s="12">
        <f>H53/(100-BE53)*100</f>
        <v>0</v>
      </c>
      <c r="BE53" s="12">
        <v>0</v>
      </c>
      <c r="BF53" s="12">
        <f>53</f>
        <v>53</v>
      </c>
      <c r="BH53" s="12">
        <f>G53*AO53</f>
        <v>0</v>
      </c>
      <c r="BI53" s="12">
        <f>G53*AP53</f>
        <v>0</v>
      </c>
      <c r="BJ53" s="12">
        <f>G53*H53</f>
        <v>0</v>
      </c>
      <c r="BK53" s="12"/>
      <c r="BL53" s="12">
        <v>57</v>
      </c>
      <c r="BW53" s="12">
        <v>21</v>
      </c>
      <c r="BX53" s="73" t="s">
        <v>194</v>
      </c>
    </row>
    <row r="54" spans="1:76" x14ac:dyDescent="0.25">
      <c r="A54" s="48"/>
      <c r="D54" s="49" t="s">
        <v>198</v>
      </c>
      <c r="E54" s="49" t="s">
        <v>18</v>
      </c>
      <c r="G54" s="50">
        <v>0</v>
      </c>
      <c r="K54" s="45"/>
    </row>
    <row r="55" spans="1:76" x14ac:dyDescent="0.25">
      <c r="A55" s="48"/>
      <c r="D55" s="49" t="s">
        <v>199</v>
      </c>
      <c r="E55" s="49" t="s">
        <v>18</v>
      </c>
      <c r="G55" s="50">
        <v>164.542</v>
      </c>
      <c r="K55" s="45"/>
    </row>
    <row r="56" spans="1:76" x14ac:dyDescent="0.25">
      <c r="A56" s="75" t="s">
        <v>22</v>
      </c>
      <c r="B56" s="71" t="s">
        <v>18</v>
      </c>
      <c r="C56" s="71" t="s">
        <v>200</v>
      </c>
      <c r="D56" s="92" t="s">
        <v>201</v>
      </c>
      <c r="E56" s="86"/>
      <c r="F56" s="71" t="s">
        <v>169</v>
      </c>
      <c r="G56" s="12">
        <v>6581.7</v>
      </c>
      <c r="H56" s="64">
        <v>0</v>
      </c>
      <c r="I56" s="64">
        <f>ROUND(G56*H56,2)</f>
        <v>0</v>
      </c>
      <c r="K56" s="45"/>
      <c r="Z56" s="12">
        <f>ROUND(IF(AQ56="5",BJ56,0),2)</f>
        <v>0</v>
      </c>
      <c r="AB56" s="12">
        <f>ROUND(IF(AQ56="1",BH56,0),2)</f>
        <v>0</v>
      </c>
      <c r="AC56" s="12">
        <f>ROUND(IF(AQ56="1",BI56,0),2)</f>
        <v>0</v>
      </c>
      <c r="AD56" s="12">
        <f>ROUND(IF(AQ56="7",BH56,0),2)</f>
        <v>0</v>
      </c>
      <c r="AE56" s="12">
        <f>ROUND(IF(AQ56="7",BI56,0),2)</f>
        <v>0</v>
      </c>
      <c r="AF56" s="12">
        <f>ROUND(IF(AQ56="2",BH56,0),2)</f>
        <v>0</v>
      </c>
      <c r="AG56" s="12">
        <f>ROUND(IF(AQ56="2",BI56,0),2)</f>
        <v>0</v>
      </c>
      <c r="AH56" s="12">
        <f>ROUND(IF(AQ56="0",BJ56,0),2)</f>
        <v>0</v>
      </c>
      <c r="AI56" s="41" t="s">
        <v>18</v>
      </c>
      <c r="AJ56" s="12">
        <f>IF(AN56=0,I56,0)</f>
        <v>0</v>
      </c>
      <c r="AK56" s="12">
        <f>IF(AN56=12,I56,0)</f>
        <v>0</v>
      </c>
      <c r="AL56" s="12">
        <f>IF(AN56=21,I56,0)</f>
        <v>0</v>
      </c>
      <c r="AN56" s="12">
        <v>21</v>
      </c>
      <c r="AO56" s="12">
        <f>H56*0.89999999</f>
        <v>0</v>
      </c>
      <c r="AP56" s="12">
        <f>H56*(1-0.89999999)</f>
        <v>0</v>
      </c>
      <c r="AQ56" s="11" t="s">
        <v>125</v>
      </c>
      <c r="AV56" s="12">
        <f>ROUND(AW56+AX56,2)</f>
        <v>0</v>
      </c>
      <c r="AW56" s="12">
        <f>ROUND(G56*AO56,2)</f>
        <v>0</v>
      </c>
      <c r="AX56" s="12">
        <f>ROUND(G56*AP56,2)</f>
        <v>0</v>
      </c>
      <c r="AY56" s="11" t="s">
        <v>196</v>
      </c>
      <c r="AZ56" s="11" t="s">
        <v>197</v>
      </c>
      <c r="BA56" s="41" t="s">
        <v>131</v>
      </c>
      <c r="BC56" s="12">
        <f>AW56+AX56</f>
        <v>0</v>
      </c>
      <c r="BD56" s="12">
        <f>H56/(100-BE56)*100</f>
        <v>0</v>
      </c>
      <c r="BE56" s="12">
        <v>0</v>
      </c>
      <c r="BF56" s="12">
        <f>56</f>
        <v>56</v>
      </c>
      <c r="BH56" s="12">
        <f>G56*AO56</f>
        <v>0</v>
      </c>
      <c r="BI56" s="12">
        <f>G56*AP56</f>
        <v>0</v>
      </c>
      <c r="BJ56" s="12">
        <f>G56*H56</f>
        <v>0</v>
      </c>
      <c r="BK56" s="12"/>
      <c r="BL56" s="12">
        <v>57</v>
      </c>
      <c r="BW56" s="12">
        <v>21</v>
      </c>
      <c r="BX56" s="73" t="s">
        <v>201</v>
      </c>
    </row>
    <row r="57" spans="1:76" x14ac:dyDescent="0.25">
      <c r="A57" s="48"/>
      <c r="D57" s="49" t="s">
        <v>202</v>
      </c>
      <c r="E57" s="49" t="s">
        <v>18</v>
      </c>
      <c r="G57" s="50">
        <v>6581.7</v>
      </c>
      <c r="K57" s="45"/>
    </row>
    <row r="58" spans="1:76" x14ac:dyDescent="0.25">
      <c r="A58" s="75" t="s">
        <v>203</v>
      </c>
      <c r="B58" s="71" t="s">
        <v>18</v>
      </c>
      <c r="C58" s="71" t="s">
        <v>204</v>
      </c>
      <c r="D58" s="92" t="s">
        <v>247</v>
      </c>
      <c r="E58" s="86"/>
      <c r="F58" s="71" t="s">
        <v>169</v>
      </c>
      <c r="G58" s="12">
        <v>3290.85</v>
      </c>
      <c r="H58" s="64">
        <v>0</v>
      </c>
      <c r="I58" s="64">
        <f>ROUND(G58*H58,2)</f>
        <v>0</v>
      </c>
      <c r="K58" s="45"/>
      <c r="Z58" s="12">
        <f>ROUND(IF(AQ58="5",BJ58,0),2)</f>
        <v>0</v>
      </c>
      <c r="AB58" s="12">
        <f>ROUND(IF(AQ58="1",BH58,0),2)</f>
        <v>0</v>
      </c>
      <c r="AC58" s="12">
        <f>ROUND(IF(AQ58="1",BI58,0),2)</f>
        <v>0</v>
      </c>
      <c r="AD58" s="12">
        <f>ROUND(IF(AQ58="7",BH58,0),2)</f>
        <v>0</v>
      </c>
      <c r="AE58" s="12">
        <f>ROUND(IF(AQ58="7",BI58,0),2)</f>
        <v>0</v>
      </c>
      <c r="AF58" s="12">
        <f>ROUND(IF(AQ58="2",BH58,0),2)</f>
        <v>0</v>
      </c>
      <c r="AG58" s="12">
        <f>ROUND(IF(AQ58="2",BI58,0),2)</f>
        <v>0</v>
      </c>
      <c r="AH58" s="12">
        <f>ROUND(IF(AQ58="0",BJ58,0),2)</f>
        <v>0</v>
      </c>
      <c r="AI58" s="41" t="s">
        <v>18</v>
      </c>
      <c r="AJ58" s="12">
        <f>IF(AN58=0,I58,0)</f>
        <v>0</v>
      </c>
      <c r="AK58" s="12">
        <f>IF(AN58=12,I58,0)</f>
        <v>0</v>
      </c>
      <c r="AL58" s="12">
        <f>IF(AN58=21,I58,0)</f>
        <v>0</v>
      </c>
      <c r="AN58" s="12">
        <v>21</v>
      </c>
      <c r="AO58" s="12">
        <f>H58*0.786784081</f>
        <v>0</v>
      </c>
      <c r="AP58" s="12">
        <f>H58*(1-0.786784081)</f>
        <v>0</v>
      </c>
      <c r="AQ58" s="11" t="s">
        <v>125</v>
      </c>
      <c r="AV58" s="12">
        <f>ROUND(AW58+AX58,2)</f>
        <v>0</v>
      </c>
      <c r="AW58" s="12">
        <f>ROUND(G58*AO58,2)</f>
        <v>0</v>
      </c>
      <c r="AX58" s="12">
        <f>ROUND(G58*AP58,2)</f>
        <v>0</v>
      </c>
      <c r="AY58" s="11" t="s">
        <v>196</v>
      </c>
      <c r="AZ58" s="11" t="s">
        <v>197</v>
      </c>
      <c r="BA58" s="41" t="s">
        <v>131</v>
      </c>
      <c r="BC58" s="12">
        <f>AW58+AX58</f>
        <v>0</v>
      </c>
      <c r="BD58" s="12">
        <f>H58/(100-BE58)*100</f>
        <v>0</v>
      </c>
      <c r="BE58" s="12">
        <v>0</v>
      </c>
      <c r="BF58" s="12">
        <f>58</f>
        <v>58</v>
      </c>
      <c r="BH58" s="12">
        <f>G58*AO58</f>
        <v>0</v>
      </c>
      <c r="BI58" s="12">
        <f>G58*AP58</f>
        <v>0</v>
      </c>
      <c r="BJ58" s="12">
        <f>G58*H58</f>
        <v>0</v>
      </c>
      <c r="BK58" s="12"/>
      <c r="BL58" s="12">
        <v>57</v>
      </c>
      <c r="BW58" s="12">
        <v>21</v>
      </c>
      <c r="BX58" s="73" t="s">
        <v>205</v>
      </c>
    </row>
    <row r="59" spans="1:76" x14ac:dyDescent="0.25">
      <c r="A59" s="51" t="s">
        <v>18</v>
      </c>
      <c r="B59" s="80" t="s">
        <v>18</v>
      </c>
      <c r="C59" s="80" t="s">
        <v>32</v>
      </c>
      <c r="D59" s="170" t="s">
        <v>33</v>
      </c>
      <c r="E59" s="171"/>
      <c r="F59" s="52" t="s">
        <v>3</v>
      </c>
      <c r="G59" s="52" t="s">
        <v>3</v>
      </c>
      <c r="H59" s="65" t="s">
        <v>3</v>
      </c>
      <c r="I59" s="57">
        <f>SUM(I60:I60)</f>
        <v>0</v>
      </c>
      <c r="K59" s="45"/>
      <c r="AI59" s="41" t="s">
        <v>18</v>
      </c>
      <c r="AS59" s="36">
        <f>SUM(AJ60:AJ60)</f>
        <v>0</v>
      </c>
      <c r="AT59" s="36">
        <f>SUM(AK60:AK60)</f>
        <v>0</v>
      </c>
      <c r="AU59" s="36">
        <f>SUM(AL60:AL60)</f>
        <v>0</v>
      </c>
    </row>
    <row r="60" spans="1:76" x14ac:dyDescent="0.25">
      <c r="A60" s="75" t="s">
        <v>206</v>
      </c>
      <c r="B60" s="71" t="s">
        <v>18</v>
      </c>
      <c r="C60" s="71" t="s">
        <v>207</v>
      </c>
      <c r="D60" s="92" t="s">
        <v>208</v>
      </c>
      <c r="E60" s="86"/>
      <c r="F60" s="71" t="s">
        <v>191</v>
      </c>
      <c r="G60" s="12">
        <v>49.05</v>
      </c>
      <c r="H60" s="64">
        <v>0</v>
      </c>
      <c r="I60" s="64">
        <f>ROUND(G60*H60,2)</f>
        <v>0</v>
      </c>
      <c r="K60" s="45"/>
      <c r="Z60" s="12">
        <f>ROUND(IF(AQ60="5",BJ60,0),2)</f>
        <v>0</v>
      </c>
      <c r="AB60" s="12">
        <f>ROUND(IF(AQ60="1",BH60,0),2)</f>
        <v>0</v>
      </c>
      <c r="AC60" s="12">
        <f>ROUND(IF(AQ60="1",BI60,0),2)</f>
        <v>0</v>
      </c>
      <c r="AD60" s="12">
        <f>ROUND(IF(AQ60="7",BH60,0),2)</f>
        <v>0</v>
      </c>
      <c r="AE60" s="12">
        <f>ROUND(IF(AQ60="7",BI60,0),2)</f>
        <v>0</v>
      </c>
      <c r="AF60" s="12">
        <f>ROUND(IF(AQ60="2",BH60,0),2)</f>
        <v>0</v>
      </c>
      <c r="AG60" s="12">
        <f>ROUND(IF(AQ60="2",BI60,0),2)</f>
        <v>0</v>
      </c>
      <c r="AH60" s="12">
        <f>ROUND(IF(AQ60="0",BJ60,0),2)</f>
        <v>0</v>
      </c>
      <c r="AI60" s="41" t="s">
        <v>18</v>
      </c>
      <c r="AJ60" s="12">
        <f>IF(AN60=0,I60,0)</f>
        <v>0</v>
      </c>
      <c r="AK60" s="12">
        <f>IF(AN60=12,I60,0)</f>
        <v>0</v>
      </c>
      <c r="AL60" s="12">
        <f>IF(AN60=21,I60,0)</f>
        <v>0</v>
      </c>
      <c r="AN60" s="12">
        <v>21</v>
      </c>
      <c r="AO60" s="12">
        <f>H60*0.86714616</f>
        <v>0</v>
      </c>
      <c r="AP60" s="12">
        <f>H60*(1-0.86714616)</f>
        <v>0</v>
      </c>
      <c r="AQ60" s="11" t="s">
        <v>125</v>
      </c>
      <c r="AV60" s="12">
        <f>ROUND(AW60+AX60,2)</f>
        <v>0</v>
      </c>
      <c r="AW60" s="12">
        <f>ROUND(G60*AO60,2)</f>
        <v>0</v>
      </c>
      <c r="AX60" s="12">
        <f>ROUND(G60*AP60,2)</f>
        <v>0</v>
      </c>
      <c r="AY60" s="11" t="s">
        <v>209</v>
      </c>
      <c r="AZ60" s="11" t="s">
        <v>197</v>
      </c>
      <c r="BA60" s="41" t="s">
        <v>131</v>
      </c>
      <c r="BC60" s="12">
        <f>AW60+AX60</f>
        <v>0</v>
      </c>
      <c r="BD60" s="12">
        <f>H60/(100-BE60)*100</f>
        <v>0</v>
      </c>
      <c r="BE60" s="12">
        <v>0</v>
      </c>
      <c r="BF60" s="12">
        <f>60</f>
        <v>60</v>
      </c>
      <c r="BH60" s="12">
        <f>G60*AO60</f>
        <v>0</v>
      </c>
      <c r="BI60" s="12">
        <f>G60*AP60</f>
        <v>0</v>
      </c>
      <c r="BJ60" s="12">
        <f>G60*H60</f>
        <v>0</v>
      </c>
      <c r="BK60" s="12"/>
      <c r="BL60" s="12">
        <v>59</v>
      </c>
      <c r="BW60" s="12">
        <v>21</v>
      </c>
      <c r="BX60" s="73" t="s">
        <v>208</v>
      </c>
    </row>
    <row r="61" spans="1:76" x14ac:dyDescent="0.25">
      <c r="A61" s="48"/>
      <c r="D61" s="49" t="s">
        <v>210</v>
      </c>
      <c r="E61" s="49" t="s">
        <v>18</v>
      </c>
      <c r="G61" s="50">
        <v>49.05</v>
      </c>
      <c r="K61" s="45"/>
    </row>
    <row r="62" spans="1:76" x14ac:dyDescent="0.25">
      <c r="A62" s="51" t="s">
        <v>18</v>
      </c>
      <c r="B62" s="80" t="s">
        <v>18</v>
      </c>
      <c r="C62" s="80" t="s">
        <v>34</v>
      </c>
      <c r="D62" s="170" t="s">
        <v>35</v>
      </c>
      <c r="E62" s="171"/>
      <c r="F62" s="52" t="s">
        <v>3</v>
      </c>
      <c r="G62" s="52" t="s">
        <v>3</v>
      </c>
      <c r="H62" s="65" t="s">
        <v>3</v>
      </c>
      <c r="I62" s="57">
        <f>SUM(I63:I65)</f>
        <v>0</v>
      </c>
      <c r="K62" s="45"/>
      <c r="AI62" s="41" t="s">
        <v>18</v>
      </c>
      <c r="AS62" s="36">
        <f>SUM(AJ63:AJ65)</f>
        <v>0</v>
      </c>
      <c r="AT62" s="36">
        <f>SUM(AK63:AK65)</f>
        <v>0</v>
      </c>
      <c r="AU62" s="36">
        <f>SUM(AL63:AL65)</f>
        <v>0</v>
      </c>
    </row>
    <row r="63" spans="1:76" x14ac:dyDescent="0.25">
      <c r="A63" s="75" t="s">
        <v>24</v>
      </c>
      <c r="B63" s="71" t="s">
        <v>18</v>
      </c>
      <c r="C63" s="71" t="s">
        <v>211</v>
      </c>
      <c r="D63" s="92" t="s">
        <v>212</v>
      </c>
      <c r="E63" s="86"/>
      <c r="F63" s="71" t="s">
        <v>213</v>
      </c>
      <c r="G63" s="12">
        <v>9</v>
      </c>
      <c r="H63" s="64">
        <v>0</v>
      </c>
      <c r="I63" s="64">
        <f>ROUND(G63*H63,2)</f>
        <v>0</v>
      </c>
      <c r="K63" s="45"/>
      <c r="Z63" s="12">
        <f>ROUND(IF(AQ63="5",BJ63,0),2)</f>
        <v>0</v>
      </c>
      <c r="AB63" s="12">
        <f>ROUND(IF(AQ63="1",BH63,0),2)</f>
        <v>0</v>
      </c>
      <c r="AC63" s="12">
        <f>ROUND(IF(AQ63="1",BI63,0),2)</f>
        <v>0</v>
      </c>
      <c r="AD63" s="12">
        <f>ROUND(IF(AQ63="7",BH63,0),2)</f>
        <v>0</v>
      </c>
      <c r="AE63" s="12">
        <f>ROUND(IF(AQ63="7",BI63,0),2)</f>
        <v>0</v>
      </c>
      <c r="AF63" s="12">
        <f>ROUND(IF(AQ63="2",BH63,0),2)</f>
        <v>0</v>
      </c>
      <c r="AG63" s="12">
        <f>ROUND(IF(AQ63="2",BI63,0),2)</f>
        <v>0</v>
      </c>
      <c r="AH63" s="12">
        <f>ROUND(IF(AQ63="0",BJ63,0),2)</f>
        <v>0</v>
      </c>
      <c r="AI63" s="41" t="s">
        <v>18</v>
      </c>
      <c r="AJ63" s="12">
        <f>IF(AN63=0,I63,0)</f>
        <v>0</v>
      </c>
      <c r="AK63" s="12">
        <f>IF(AN63=12,I63,0)</f>
        <v>0</v>
      </c>
      <c r="AL63" s="12">
        <f>IF(AN63=21,I63,0)</f>
        <v>0</v>
      </c>
      <c r="AN63" s="12">
        <v>21</v>
      </c>
      <c r="AO63" s="12">
        <f>H63*0.338885802</f>
        <v>0</v>
      </c>
      <c r="AP63" s="12">
        <f>H63*(1-0.338885802)</f>
        <v>0</v>
      </c>
      <c r="AQ63" s="11" t="s">
        <v>125</v>
      </c>
      <c r="AV63" s="12">
        <f>ROUND(AW63+AX63,2)</f>
        <v>0</v>
      </c>
      <c r="AW63" s="12">
        <f>ROUND(G63*AO63,2)</f>
        <v>0</v>
      </c>
      <c r="AX63" s="12">
        <f>ROUND(G63*AP63,2)</f>
        <v>0</v>
      </c>
      <c r="AY63" s="11" t="s">
        <v>214</v>
      </c>
      <c r="AZ63" s="11" t="s">
        <v>215</v>
      </c>
      <c r="BA63" s="41" t="s">
        <v>131</v>
      </c>
      <c r="BC63" s="12">
        <f>AW63+AX63</f>
        <v>0</v>
      </c>
      <c r="BD63" s="12">
        <f>H63/(100-BE63)*100</f>
        <v>0</v>
      </c>
      <c r="BE63" s="12">
        <v>0</v>
      </c>
      <c r="BF63" s="12">
        <f>63</f>
        <v>63</v>
      </c>
      <c r="BH63" s="12">
        <f>G63*AO63</f>
        <v>0</v>
      </c>
      <c r="BI63" s="12">
        <f>G63*AP63</f>
        <v>0</v>
      </c>
      <c r="BJ63" s="12">
        <f>G63*H63</f>
        <v>0</v>
      </c>
      <c r="BK63" s="12"/>
      <c r="BL63" s="12">
        <v>89</v>
      </c>
      <c r="BW63" s="12">
        <v>21</v>
      </c>
      <c r="BX63" s="73" t="s">
        <v>212</v>
      </c>
    </row>
    <row r="64" spans="1:76" x14ac:dyDescent="0.25">
      <c r="A64" s="75" t="s">
        <v>216</v>
      </c>
      <c r="B64" s="71" t="s">
        <v>18</v>
      </c>
      <c r="C64" s="71" t="s">
        <v>217</v>
      </c>
      <c r="D64" s="92" t="s">
        <v>218</v>
      </c>
      <c r="E64" s="86"/>
      <c r="F64" s="71" t="s">
        <v>213</v>
      </c>
      <c r="G64" s="12">
        <v>7</v>
      </c>
      <c r="H64" s="64">
        <v>0</v>
      </c>
      <c r="I64" s="64">
        <f>ROUND(G64*H64,2)</f>
        <v>0</v>
      </c>
      <c r="K64" s="45"/>
      <c r="Z64" s="12">
        <f>ROUND(IF(AQ64="5",BJ64,0),2)</f>
        <v>0</v>
      </c>
      <c r="AB64" s="12">
        <f>ROUND(IF(AQ64="1",BH64,0),2)</f>
        <v>0</v>
      </c>
      <c r="AC64" s="12">
        <f>ROUND(IF(AQ64="1",BI64,0),2)</f>
        <v>0</v>
      </c>
      <c r="AD64" s="12">
        <f>ROUND(IF(AQ64="7",BH64,0),2)</f>
        <v>0</v>
      </c>
      <c r="AE64" s="12">
        <f>ROUND(IF(AQ64="7",BI64,0),2)</f>
        <v>0</v>
      </c>
      <c r="AF64" s="12">
        <f>ROUND(IF(AQ64="2",BH64,0),2)</f>
        <v>0</v>
      </c>
      <c r="AG64" s="12">
        <f>ROUND(IF(AQ64="2",BI64,0),2)</f>
        <v>0</v>
      </c>
      <c r="AH64" s="12">
        <f>ROUND(IF(AQ64="0",BJ64,0),2)</f>
        <v>0</v>
      </c>
      <c r="AI64" s="41" t="s">
        <v>18</v>
      </c>
      <c r="AJ64" s="12">
        <f>IF(AN64=0,I64,0)</f>
        <v>0</v>
      </c>
      <c r="AK64" s="12">
        <f>IF(AN64=12,I64,0)</f>
        <v>0</v>
      </c>
      <c r="AL64" s="12">
        <f>IF(AN64=21,I64,0)</f>
        <v>0</v>
      </c>
      <c r="AN64" s="12">
        <v>21</v>
      </c>
      <c r="AO64" s="12">
        <f>H64*0.3184608</f>
        <v>0</v>
      </c>
      <c r="AP64" s="12">
        <f>H64*(1-0.3184608)</f>
        <v>0</v>
      </c>
      <c r="AQ64" s="11" t="s">
        <v>125</v>
      </c>
      <c r="AV64" s="12">
        <f>ROUND(AW64+AX64,2)</f>
        <v>0</v>
      </c>
      <c r="AW64" s="12">
        <f>ROUND(G64*AO64,2)</f>
        <v>0</v>
      </c>
      <c r="AX64" s="12">
        <f>ROUND(G64*AP64,2)</f>
        <v>0</v>
      </c>
      <c r="AY64" s="11" t="s">
        <v>214</v>
      </c>
      <c r="AZ64" s="11" t="s">
        <v>215</v>
      </c>
      <c r="BA64" s="41" t="s">
        <v>131</v>
      </c>
      <c r="BC64" s="12">
        <f>AW64+AX64</f>
        <v>0</v>
      </c>
      <c r="BD64" s="12">
        <f>H64/(100-BE64)*100</f>
        <v>0</v>
      </c>
      <c r="BE64" s="12">
        <v>0</v>
      </c>
      <c r="BF64" s="12">
        <f>64</f>
        <v>64</v>
      </c>
      <c r="BH64" s="12">
        <f>G64*AO64</f>
        <v>0</v>
      </c>
      <c r="BI64" s="12">
        <f>G64*AP64</f>
        <v>0</v>
      </c>
      <c r="BJ64" s="12">
        <f>G64*H64</f>
        <v>0</v>
      </c>
      <c r="BK64" s="12"/>
      <c r="BL64" s="12">
        <v>89</v>
      </c>
      <c r="BW64" s="12">
        <v>21</v>
      </c>
      <c r="BX64" s="73" t="s">
        <v>218</v>
      </c>
    </row>
    <row r="65" spans="1:76" x14ac:dyDescent="0.25">
      <c r="A65" s="75" t="s">
        <v>219</v>
      </c>
      <c r="B65" s="71" t="s">
        <v>18</v>
      </c>
      <c r="C65" s="71" t="s">
        <v>220</v>
      </c>
      <c r="D65" s="92" t="s">
        <v>221</v>
      </c>
      <c r="E65" s="86"/>
      <c r="F65" s="71" t="s">
        <v>213</v>
      </c>
      <c r="G65" s="12">
        <v>13</v>
      </c>
      <c r="H65" s="64">
        <v>0</v>
      </c>
      <c r="I65" s="64">
        <f>ROUND(G65*H65,2)</f>
        <v>0</v>
      </c>
      <c r="K65" s="45"/>
      <c r="Z65" s="12">
        <f>ROUND(IF(AQ65="5",BJ65,0),2)</f>
        <v>0</v>
      </c>
      <c r="AB65" s="12">
        <f>ROUND(IF(AQ65="1",BH65,0),2)</f>
        <v>0</v>
      </c>
      <c r="AC65" s="12">
        <f>ROUND(IF(AQ65="1",BI65,0),2)</f>
        <v>0</v>
      </c>
      <c r="AD65" s="12">
        <f>ROUND(IF(AQ65="7",BH65,0),2)</f>
        <v>0</v>
      </c>
      <c r="AE65" s="12">
        <f>ROUND(IF(AQ65="7",BI65,0),2)</f>
        <v>0</v>
      </c>
      <c r="AF65" s="12">
        <f>ROUND(IF(AQ65="2",BH65,0),2)</f>
        <v>0</v>
      </c>
      <c r="AG65" s="12">
        <f>ROUND(IF(AQ65="2",BI65,0),2)</f>
        <v>0</v>
      </c>
      <c r="AH65" s="12">
        <f>ROUND(IF(AQ65="0",BJ65,0),2)</f>
        <v>0</v>
      </c>
      <c r="AI65" s="41" t="s">
        <v>18</v>
      </c>
      <c r="AJ65" s="12">
        <f>IF(AN65=0,I65,0)</f>
        <v>0</v>
      </c>
      <c r="AK65" s="12">
        <f>IF(AN65=12,I65,0)</f>
        <v>0</v>
      </c>
      <c r="AL65" s="12">
        <f>IF(AN65=21,I65,0)</f>
        <v>0</v>
      </c>
      <c r="AN65" s="12">
        <v>21</v>
      </c>
      <c r="AO65" s="12">
        <f>H65*0.471971363</f>
        <v>0</v>
      </c>
      <c r="AP65" s="12">
        <f>H65*(1-0.471971363)</f>
        <v>0</v>
      </c>
      <c r="AQ65" s="11" t="s">
        <v>125</v>
      </c>
      <c r="AV65" s="12">
        <f>ROUND(AW65+AX65,2)</f>
        <v>0</v>
      </c>
      <c r="AW65" s="12">
        <f>ROUND(G65*AO65,2)</f>
        <v>0</v>
      </c>
      <c r="AX65" s="12">
        <f>ROUND(G65*AP65,2)</f>
        <v>0</v>
      </c>
      <c r="AY65" s="11" t="s">
        <v>214</v>
      </c>
      <c r="AZ65" s="11" t="s">
        <v>215</v>
      </c>
      <c r="BA65" s="41" t="s">
        <v>131</v>
      </c>
      <c r="BC65" s="12">
        <f>AW65+AX65</f>
        <v>0</v>
      </c>
      <c r="BD65" s="12">
        <f>H65/(100-BE65)*100</f>
        <v>0</v>
      </c>
      <c r="BE65" s="12">
        <v>0</v>
      </c>
      <c r="BF65" s="12">
        <f>65</f>
        <v>65</v>
      </c>
      <c r="BH65" s="12">
        <f>G65*AO65</f>
        <v>0</v>
      </c>
      <c r="BI65" s="12">
        <f>G65*AP65</f>
        <v>0</v>
      </c>
      <c r="BJ65" s="12">
        <f>G65*H65</f>
        <v>0</v>
      </c>
      <c r="BK65" s="12"/>
      <c r="BL65" s="12">
        <v>89</v>
      </c>
      <c r="BW65" s="12">
        <v>21</v>
      </c>
      <c r="BX65" s="73" t="s">
        <v>221</v>
      </c>
    </row>
    <row r="66" spans="1:76" ht="21.75" customHeight="1" x14ac:dyDescent="0.25">
      <c r="A66" s="51" t="s">
        <v>18</v>
      </c>
      <c r="B66" s="80" t="s">
        <v>18</v>
      </c>
      <c r="C66" s="80" t="s">
        <v>36</v>
      </c>
      <c r="D66" s="170" t="s">
        <v>37</v>
      </c>
      <c r="E66" s="171"/>
      <c r="F66" s="52" t="s">
        <v>3</v>
      </c>
      <c r="G66" s="52" t="s">
        <v>3</v>
      </c>
      <c r="H66" s="65" t="s">
        <v>3</v>
      </c>
      <c r="I66" s="57">
        <f>SUM(I67:I69)</f>
        <v>0</v>
      </c>
      <c r="K66" s="45"/>
      <c r="AI66" s="41" t="s">
        <v>18</v>
      </c>
      <c r="AS66" s="36">
        <f>SUM(AJ67:AJ69)</f>
        <v>0</v>
      </c>
      <c r="AT66" s="36">
        <f>SUM(AK67:AK69)</f>
        <v>0</v>
      </c>
      <c r="AU66" s="36">
        <f>SUM(AL67:AL69)</f>
        <v>0</v>
      </c>
    </row>
    <row r="67" spans="1:76" x14ac:dyDescent="0.25">
      <c r="A67" s="75" t="s">
        <v>26</v>
      </c>
      <c r="B67" s="71" t="s">
        <v>18</v>
      </c>
      <c r="C67" s="71" t="s">
        <v>222</v>
      </c>
      <c r="D67" s="92" t="s">
        <v>223</v>
      </c>
      <c r="E67" s="86"/>
      <c r="F67" s="71" t="s">
        <v>191</v>
      </c>
      <c r="G67" s="12">
        <v>49.05</v>
      </c>
      <c r="H67" s="64">
        <v>0</v>
      </c>
      <c r="I67" s="64">
        <f>ROUND(G67*H67,2)</f>
        <v>0</v>
      </c>
      <c r="K67" s="45"/>
      <c r="Z67" s="12">
        <f>ROUND(IF(AQ67="5",BJ67,0),2)</f>
        <v>0</v>
      </c>
      <c r="AB67" s="12">
        <f>ROUND(IF(AQ67="1",BH67,0),2)</f>
        <v>0</v>
      </c>
      <c r="AC67" s="12">
        <f>ROUND(IF(AQ67="1",BI67,0),2)</f>
        <v>0</v>
      </c>
      <c r="AD67" s="12">
        <f>ROUND(IF(AQ67="7",BH67,0),2)</f>
        <v>0</v>
      </c>
      <c r="AE67" s="12">
        <f>ROUND(IF(AQ67="7",BI67,0),2)</f>
        <v>0</v>
      </c>
      <c r="AF67" s="12">
        <f>ROUND(IF(AQ67="2",BH67,0),2)</f>
        <v>0</v>
      </c>
      <c r="AG67" s="12">
        <f>ROUND(IF(AQ67="2",BI67,0),2)</f>
        <v>0</v>
      </c>
      <c r="AH67" s="12">
        <f>ROUND(IF(AQ67="0",BJ67,0),2)</f>
        <v>0</v>
      </c>
      <c r="AI67" s="41" t="s">
        <v>18</v>
      </c>
      <c r="AJ67" s="12">
        <f>IF(AN67=0,I67,0)</f>
        <v>0</v>
      </c>
      <c r="AK67" s="12">
        <f>IF(AN67=12,I67,0)</f>
        <v>0</v>
      </c>
      <c r="AL67" s="12">
        <f>IF(AN67=21,I67,0)</f>
        <v>0</v>
      </c>
      <c r="AN67" s="12">
        <v>21</v>
      </c>
      <c r="AO67" s="12">
        <f>H67*0.556102948</f>
        <v>0</v>
      </c>
      <c r="AP67" s="12">
        <f>H67*(1-0.556102948)</f>
        <v>0</v>
      </c>
      <c r="AQ67" s="11" t="s">
        <v>125</v>
      </c>
      <c r="AV67" s="12">
        <f>ROUND(AW67+AX67,2)</f>
        <v>0</v>
      </c>
      <c r="AW67" s="12">
        <f>ROUND(G67*AO67,2)</f>
        <v>0</v>
      </c>
      <c r="AX67" s="12">
        <f>ROUND(G67*AP67,2)</f>
        <v>0</v>
      </c>
      <c r="AY67" s="11" t="s">
        <v>224</v>
      </c>
      <c r="AZ67" s="11" t="s">
        <v>225</v>
      </c>
      <c r="BA67" s="41" t="s">
        <v>131</v>
      </c>
      <c r="BC67" s="12">
        <f>AW67+AX67</f>
        <v>0</v>
      </c>
      <c r="BD67" s="12">
        <f>H67/(100-BE67)*100</f>
        <v>0</v>
      </c>
      <c r="BE67" s="12">
        <v>0</v>
      </c>
      <c r="BF67" s="12">
        <f>67</f>
        <v>67</v>
      </c>
      <c r="BH67" s="12">
        <f>G67*AO67</f>
        <v>0</v>
      </c>
      <c r="BI67" s="12">
        <f>G67*AP67</f>
        <v>0</v>
      </c>
      <c r="BJ67" s="12">
        <f>G67*H67</f>
        <v>0</v>
      </c>
      <c r="BK67" s="12"/>
      <c r="BL67" s="12">
        <v>91</v>
      </c>
      <c r="BW67" s="12">
        <v>21</v>
      </c>
      <c r="BX67" s="73" t="s">
        <v>223</v>
      </c>
    </row>
    <row r="68" spans="1:76" ht="25.5" x14ac:dyDescent="0.25">
      <c r="A68" s="75" t="s">
        <v>226</v>
      </c>
      <c r="B68" s="71" t="s">
        <v>18</v>
      </c>
      <c r="C68" s="71" t="s">
        <v>227</v>
      </c>
      <c r="D68" s="92" t="s">
        <v>228</v>
      </c>
      <c r="E68" s="86"/>
      <c r="F68" s="71" t="s">
        <v>191</v>
      </c>
      <c r="G68" s="12">
        <v>13</v>
      </c>
      <c r="H68" s="64">
        <v>0</v>
      </c>
      <c r="I68" s="64">
        <f>ROUND(G68*H68,2)</f>
        <v>0</v>
      </c>
      <c r="K68" s="45"/>
      <c r="Z68" s="12">
        <f>ROUND(IF(AQ68="5",BJ68,0),2)</f>
        <v>0</v>
      </c>
      <c r="AB68" s="12">
        <f>ROUND(IF(AQ68="1",BH68,0),2)</f>
        <v>0</v>
      </c>
      <c r="AC68" s="12">
        <f>ROUND(IF(AQ68="1",BI68,0),2)</f>
        <v>0</v>
      </c>
      <c r="AD68" s="12">
        <f>ROUND(IF(AQ68="7",BH68,0),2)</f>
        <v>0</v>
      </c>
      <c r="AE68" s="12">
        <f>ROUND(IF(AQ68="7",BI68,0),2)</f>
        <v>0</v>
      </c>
      <c r="AF68" s="12">
        <f>ROUND(IF(AQ68="2",BH68,0),2)</f>
        <v>0</v>
      </c>
      <c r="AG68" s="12">
        <f>ROUND(IF(AQ68="2",BI68,0),2)</f>
        <v>0</v>
      </c>
      <c r="AH68" s="12">
        <f>ROUND(IF(AQ68="0",BJ68,0),2)</f>
        <v>0</v>
      </c>
      <c r="AI68" s="41" t="s">
        <v>18</v>
      </c>
      <c r="AJ68" s="12">
        <f>IF(AN68=0,I68,0)</f>
        <v>0</v>
      </c>
      <c r="AK68" s="12">
        <f>IF(AN68=12,I68,0)</f>
        <v>0</v>
      </c>
      <c r="AL68" s="12">
        <f>IF(AN68=21,I68,0)</f>
        <v>0</v>
      </c>
      <c r="AN68" s="12">
        <v>21</v>
      </c>
      <c r="AO68" s="12">
        <f>H68*0.753378176</f>
        <v>0</v>
      </c>
      <c r="AP68" s="12">
        <f>H68*(1-0.753378176)</f>
        <v>0</v>
      </c>
      <c r="AQ68" s="11" t="s">
        <v>125</v>
      </c>
      <c r="AV68" s="12">
        <f>ROUND(AW68+AX68,2)</f>
        <v>0</v>
      </c>
      <c r="AW68" s="12">
        <f>ROUND(G68*AO68,2)</f>
        <v>0</v>
      </c>
      <c r="AX68" s="12">
        <f>ROUND(G68*AP68,2)</f>
        <v>0</v>
      </c>
      <c r="AY68" s="11" t="s">
        <v>224</v>
      </c>
      <c r="AZ68" s="11" t="s">
        <v>225</v>
      </c>
      <c r="BA68" s="41" t="s">
        <v>131</v>
      </c>
      <c r="BC68" s="12">
        <f>AW68+AX68</f>
        <v>0</v>
      </c>
      <c r="BD68" s="12">
        <f>H68/(100-BE68)*100</f>
        <v>0</v>
      </c>
      <c r="BE68" s="12">
        <v>0</v>
      </c>
      <c r="BF68" s="12">
        <f>68</f>
        <v>68</v>
      </c>
      <c r="BH68" s="12">
        <f>G68*AO68</f>
        <v>0</v>
      </c>
      <c r="BI68" s="12">
        <f>G68*AP68</f>
        <v>0</v>
      </c>
      <c r="BJ68" s="12">
        <f>G68*H68</f>
        <v>0</v>
      </c>
      <c r="BK68" s="12"/>
      <c r="BL68" s="12">
        <v>91</v>
      </c>
      <c r="BW68" s="12">
        <v>21</v>
      </c>
      <c r="BX68" s="73" t="s">
        <v>228</v>
      </c>
    </row>
    <row r="69" spans="1:76" x14ac:dyDescent="0.25">
      <c r="A69" s="75" t="s">
        <v>229</v>
      </c>
      <c r="B69" s="71" t="s">
        <v>18</v>
      </c>
      <c r="C69" s="71" t="s">
        <v>230</v>
      </c>
      <c r="D69" s="92" t="s">
        <v>231</v>
      </c>
      <c r="E69" s="86"/>
      <c r="F69" s="71" t="s">
        <v>195</v>
      </c>
      <c r="G69" s="12">
        <v>600.976</v>
      </c>
      <c r="H69" s="64">
        <v>0</v>
      </c>
      <c r="I69" s="64">
        <f>ROUND(G69*H69,2)</f>
        <v>0</v>
      </c>
      <c r="K69" s="45"/>
      <c r="Z69" s="12">
        <f>ROUND(IF(AQ69="5",BJ69,0),2)</f>
        <v>0</v>
      </c>
      <c r="AB69" s="12">
        <f>ROUND(IF(AQ69="1",BH69,0),2)</f>
        <v>0</v>
      </c>
      <c r="AC69" s="12">
        <f>ROUND(IF(AQ69="1",BI69,0),2)</f>
        <v>0</v>
      </c>
      <c r="AD69" s="12">
        <f>ROUND(IF(AQ69="7",BH69,0),2)</f>
        <v>0</v>
      </c>
      <c r="AE69" s="12">
        <f>ROUND(IF(AQ69="7",BI69,0),2)</f>
        <v>0</v>
      </c>
      <c r="AF69" s="12">
        <f>ROUND(IF(AQ69="2",BH69,0),2)</f>
        <v>0</v>
      </c>
      <c r="AG69" s="12">
        <f>ROUND(IF(AQ69="2",BI69,0),2)</f>
        <v>0</v>
      </c>
      <c r="AH69" s="12">
        <f>ROUND(IF(AQ69="0",BJ69,0),2)</f>
        <v>0</v>
      </c>
      <c r="AI69" s="41" t="s">
        <v>18</v>
      </c>
      <c r="AJ69" s="12">
        <f>IF(AN69=0,I69,0)</f>
        <v>0</v>
      </c>
      <c r="AK69" s="12">
        <f>IF(AN69=12,I69,0)</f>
        <v>0</v>
      </c>
      <c r="AL69" s="12">
        <f>IF(AN69=21,I69,0)</f>
        <v>0</v>
      </c>
      <c r="AN69" s="12">
        <v>21</v>
      </c>
      <c r="AO69" s="12">
        <f>H69*0</f>
        <v>0</v>
      </c>
      <c r="AP69" s="12">
        <f>H69*(1-0)</f>
        <v>0</v>
      </c>
      <c r="AQ69" s="11" t="s">
        <v>142</v>
      </c>
      <c r="AV69" s="12">
        <f>ROUND(AW69+AX69,2)</f>
        <v>0</v>
      </c>
      <c r="AW69" s="12">
        <f>ROUND(G69*AO69,2)</f>
        <v>0</v>
      </c>
      <c r="AX69" s="12">
        <f>ROUND(G69*AP69,2)</f>
        <v>0</v>
      </c>
      <c r="AY69" s="11" t="s">
        <v>224</v>
      </c>
      <c r="AZ69" s="11" t="s">
        <v>225</v>
      </c>
      <c r="BA69" s="41" t="s">
        <v>131</v>
      </c>
      <c r="BC69" s="12">
        <f>AW69+AX69</f>
        <v>0</v>
      </c>
      <c r="BD69" s="12">
        <f>H69/(100-BE69)*100</f>
        <v>0</v>
      </c>
      <c r="BE69" s="12">
        <v>0</v>
      </c>
      <c r="BF69" s="12">
        <f>69</f>
        <v>69</v>
      </c>
      <c r="BH69" s="12">
        <f>G69*AO69</f>
        <v>0</v>
      </c>
      <c r="BI69" s="12">
        <f>G69*AP69</f>
        <v>0</v>
      </c>
      <c r="BJ69" s="12">
        <f>G69*H69</f>
        <v>0</v>
      </c>
      <c r="BK69" s="12"/>
      <c r="BL69" s="12">
        <v>91</v>
      </c>
      <c r="BW69" s="12">
        <v>21</v>
      </c>
      <c r="BX69" s="73" t="s">
        <v>231</v>
      </c>
    </row>
    <row r="70" spans="1:76" x14ac:dyDescent="0.25">
      <c r="A70" s="51" t="s">
        <v>18</v>
      </c>
      <c r="B70" s="80" t="s">
        <v>18</v>
      </c>
      <c r="C70" s="80" t="s">
        <v>38</v>
      </c>
      <c r="D70" s="170" t="s">
        <v>39</v>
      </c>
      <c r="E70" s="171"/>
      <c r="F70" s="52" t="s">
        <v>3</v>
      </c>
      <c r="G70" s="52" t="s">
        <v>3</v>
      </c>
      <c r="H70" s="65" t="s">
        <v>3</v>
      </c>
      <c r="I70" s="57">
        <f>SUM(I71:I77)</f>
        <v>0</v>
      </c>
      <c r="K70" s="45"/>
      <c r="AI70" s="41" t="s">
        <v>18</v>
      </c>
      <c r="AS70" s="36">
        <f>SUM(AJ71:AJ77)</f>
        <v>0</v>
      </c>
      <c r="AT70" s="36">
        <f>SUM(AK71:AK77)</f>
        <v>0</v>
      </c>
      <c r="AU70" s="36">
        <f>SUM(AL71:AL77)</f>
        <v>0</v>
      </c>
    </row>
    <row r="71" spans="1:76" x14ac:dyDescent="0.25">
      <c r="A71" s="75" t="s">
        <v>232</v>
      </c>
      <c r="B71" s="71" t="s">
        <v>18</v>
      </c>
      <c r="C71" s="71" t="s">
        <v>233</v>
      </c>
      <c r="D71" s="92" t="s">
        <v>234</v>
      </c>
      <c r="E71" s="86"/>
      <c r="F71" s="71" t="s">
        <v>195</v>
      </c>
      <c r="G71" s="12">
        <v>436.01</v>
      </c>
      <c r="H71" s="64">
        <v>0</v>
      </c>
      <c r="I71" s="64">
        <f>ROUND(G71*H71,2)</f>
        <v>0</v>
      </c>
      <c r="K71" s="45"/>
      <c r="Z71" s="12">
        <f>ROUND(IF(AQ71="5",BJ71,0),2)</f>
        <v>0</v>
      </c>
      <c r="AB71" s="12">
        <f>ROUND(IF(AQ71="1",BH71,0),2)</f>
        <v>0</v>
      </c>
      <c r="AC71" s="12">
        <f>ROUND(IF(AQ71="1",BI71,0),2)</f>
        <v>0</v>
      </c>
      <c r="AD71" s="12">
        <f>ROUND(IF(AQ71="7",BH71,0),2)</f>
        <v>0</v>
      </c>
      <c r="AE71" s="12">
        <f>ROUND(IF(AQ71="7",BI71,0),2)</f>
        <v>0</v>
      </c>
      <c r="AF71" s="12">
        <f>ROUND(IF(AQ71="2",BH71,0),2)</f>
        <v>0</v>
      </c>
      <c r="AG71" s="12">
        <f>ROUND(IF(AQ71="2",BI71,0),2)</f>
        <v>0</v>
      </c>
      <c r="AH71" s="12">
        <f>ROUND(IF(AQ71="0",BJ71,0),2)</f>
        <v>0</v>
      </c>
      <c r="AI71" s="41" t="s">
        <v>18</v>
      </c>
      <c r="AJ71" s="12">
        <f>IF(AN71=0,I71,0)</f>
        <v>0</v>
      </c>
      <c r="AK71" s="12">
        <f>IF(AN71=12,I71,0)</f>
        <v>0</v>
      </c>
      <c r="AL71" s="12">
        <f>IF(AN71=21,I71,0)</f>
        <v>0</v>
      </c>
      <c r="AN71" s="12">
        <v>21</v>
      </c>
      <c r="AO71" s="12">
        <f>H71*0</f>
        <v>0</v>
      </c>
      <c r="AP71" s="12">
        <f>H71*(1-0)</f>
        <v>0</v>
      </c>
      <c r="AQ71" s="11" t="s">
        <v>142</v>
      </c>
      <c r="AV71" s="12">
        <f>ROUND(AW71+AX71,2)</f>
        <v>0</v>
      </c>
      <c r="AW71" s="12">
        <f>ROUND(G71*AO71,2)</f>
        <v>0</v>
      </c>
      <c r="AX71" s="12">
        <f>ROUND(G71*AP71,2)</f>
        <v>0</v>
      </c>
      <c r="AY71" s="11" t="s">
        <v>235</v>
      </c>
      <c r="AZ71" s="11" t="s">
        <v>225</v>
      </c>
      <c r="BA71" s="41" t="s">
        <v>131</v>
      </c>
      <c r="BC71" s="12">
        <f>AW71+AX71</f>
        <v>0</v>
      </c>
      <c r="BD71" s="12">
        <f>H71/(100-BE71)*100</f>
        <v>0</v>
      </c>
      <c r="BE71" s="12">
        <v>0</v>
      </c>
      <c r="BF71" s="12">
        <f>71</f>
        <v>71</v>
      </c>
      <c r="BH71" s="12">
        <f>G71*AO71</f>
        <v>0</v>
      </c>
      <c r="BI71" s="12">
        <f>G71*AP71</f>
        <v>0</v>
      </c>
      <c r="BJ71" s="12">
        <f>G71*H71</f>
        <v>0</v>
      </c>
      <c r="BK71" s="12"/>
      <c r="BL71" s="12"/>
      <c r="BW71" s="12">
        <v>21</v>
      </c>
      <c r="BX71" s="73" t="s">
        <v>234</v>
      </c>
    </row>
    <row r="72" spans="1:76" x14ac:dyDescent="0.25">
      <c r="A72" s="78"/>
      <c r="B72" s="174"/>
      <c r="C72" s="174"/>
      <c r="D72" s="175" t="s">
        <v>253</v>
      </c>
      <c r="E72" s="174"/>
      <c r="F72" s="174"/>
      <c r="G72" s="176"/>
      <c r="H72" s="177"/>
      <c r="I72" s="177"/>
      <c r="K72" s="40"/>
      <c r="Z72" s="176"/>
      <c r="AB72" s="176"/>
      <c r="AC72" s="176"/>
      <c r="AD72" s="176"/>
      <c r="AE72" s="176"/>
      <c r="AF72" s="176"/>
      <c r="AG72" s="176"/>
      <c r="AH72" s="176"/>
      <c r="AI72" s="178"/>
      <c r="AJ72" s="176"/>
      <c r="AK72" s="176"/>
      <c r="AL72" s="176"/>
      <c r="AN72" s="176"/>
      <c r="AO72" s="176"/>
      <c r="AP72" s="176"/>
      <c r="AQ72" s="179"/>
      <c r="AV72" s="176"/>
      <c r="AW72" s="176"/>
      <c r="AX72" s="176"/>
      <c r="AY72" s="179"/>
      <c r="AZ72" s="179"/>
      <c r="BA72" s="178"/>
      <c r="BC72" s="176"/>
      <c r="BD72" s="176"/>
      <c r="BE72" s="176"/>
      <c r="BF72" s="176"/>
      <c r="BH72" s="176"/>
      <c r="BI72" s="176"/>
      <c r="BJ72" s="176"/>
      <c r="BK72" s="176"/>
      <c r="BL72" s="176"/>
      <c r="BW72" s="176"/>
      <c r="BX72" s="175"/>
    </row>
    <row r="73" spans="1:76" x14ac:dyDescent="0.25">
      <c r="A73" s="75" t="s">
        <v>236</v>
      </c>
      <c r="B73" s="71" t="s">
        <v>18</v>
      </c>
      <c r="C73" s="71" t="s">
        <v>237</v>
      </c>
      <c r="D73" s="92" t="s">
        <v>238</v>
      </c>
      <c r="E73" s="86"/>
      <c r="F73" s="71" t="s">
        <v>195</v>
      </c>
      <c r="G73" s="12">
        <v>6529.62</v>
      </c>
      <c r="H73" s="64">
        <v>0</v>
      </c>
      <c r="I73" s="64">
        <f>ROUND(G73*H73,2)</f>
        <v>0</v>
      </c>
      <c r="K73" s="45"/>
      <c r="Z73" s="12">
        <f>ROUND(IF(AQ73="5",BJ73,0),2)</f>
        <v>0</v>
      </c>
      <c r="AB73" s="12">
        <f>ROUND(IF(AQ73="1",BH73,0),2)</f>
        <v>0</v>
      </c>
      <c r="AC73" s="12">
        <f>ROUND(IF(AQ73="1",BI73,0),2)</f>
        <v>0</v>
      </c>
      <c r="AD73" s="12">
        <f>ROUND(IF(AQ73="7",BH73,0),2)</f>
        <v>0</v>
      </c>
      <c r="AE73" s="12">
        <f>ROUND(IF(AQ73="7",BI73,0),2)</f>
        <v>0</v>
      </c>
      <c r="AF73" s="12">
        <f>ROUND(IF(AQ73="2",BH73,0),2)</f>
        <v>0</v>
      </c>
      <c r="AG73" s="12">
        <f>ROUND(IF(AQ73="2",BI73,0),2)</f>
        <v>0</v>
      </c>
      <c r="AH73" s="12">
        <f>ROUND(IF(AQ73="0",BJ73,0),2)</f>
        <v>0</v>
      </c>
      <c r="AI73" s="41" t="s">
        <v>18</v>
      </c>
      <c r="AJ73" s="12">
        <f>IF(AN73=0,I73,0)</f>
        <v>0</v>
      </c>
      <c r="AK73" s="12">
        <f>IF(AN73=12,I73,0)</f>
        <v>0</v>
      </c>
      <c r="AL73" s="12">
        <f>IF(AN73=21,I73,0)</f>
        <v>0</v>
      </c>
      <c r="AN73" s="12">
        <v>21</v>
      </c>
      <c r="AO73" s="12">
        <f>H73*0</f>
        <v>0</v>
      </c>
      <c r="AP73" s="12">
        <f>H73*(1-0)</f>
        <v>0</v>
      </c>
      <c r="AQ73" s="11" t="s">
        <v>142</v>
      </c>
      <c r="AV73" s="12">
        <f>ROUND(AW73+AX73,2)</f>
        <v>0</v>
      </c>
      <c r="AW73" s="12">
        <f>ROUND(G73*AO73,2)</f>
        <v>0</v>
      </c>
      <c r="AX73" s="12">
        <f>ROUND(G73*AP73,2)</f>
        <v>0</v>
      </c>
      <c r="AY73" s="11" t="s">
        <v>235</v>
      </c>
      <c r="AZ73" s="11" t="s">
        <v>225</v>
      </c>
      <c r="BA73" s="41" t="s">
        <v>131</v>
      </c>
      <c r="BC73" s="12">
        <f>AW73+AX73</f>
        <v>0</v>
      </c>
      <c r="BD73" s="12">
        <f>H73/(100-BE73)*100</f>
        <v>0</v>
      </c>
      <c r="BE73" s="12">
        <v>0</v>
      </c>
      <c r="BF73" s="12">
        <f>72</f>
        <v>72</v>
      </c>
      <c r="BH73" s="12">
        <f>G73*AO73</f>
        <v>0</v>
      </c>
      <c r="BI73" s="12">
        <f>G73*AP73</f>
        <v>0</v>
      </c>
      <c r="BJ73" s="12">
        <f>G73*H73</f>
        <v>0</v>
      </c>
      <c r="BK73" s="12"/>
      <c r="BL73" s="12"/>
      <c r="BW73" s="12">
        <v>21</v>
      </c>
      <c r="BX73" s="73" t="s">
        <v>238</v>
      </c>
    </row>
    <row r="74" spans="1:76" x14ac:dyDescent="0.25">
      <c r="A74" s="48"/>
      <c r="D74" s="49" t="s">
        <v>239</v>
      </c>
      <c r="E74" s="49" t="s">
        <v>18</v>
      </c>
      <c r="G74" s="50">
        <v>1.62</v>
      </c>
      <c r="K74" s="45"/>
    </row>
    <row r="75" spans="1:76" x14ac:dyDescent="0.25">
      <c r="A75" s="180"/>
      <c r="D75" s="49" t="s">
        <v>254</v>
      </c>
      <c r="E75" s="181"/>
      <c r="G75" s="182">
        <v>6528</v>
      </c>
      <c r="K75" s="40"/>
    </row>
    <row r="76" spans="1:76" x14ac:dyDescent="0.25">
      <c r="A76" s="75" t="s">
        <v>240</v>
      </c>
      <c r="B76" s="71" t="s">
        <v>18</v>
      </c>
      <c r="C76" s="71" t="s">
        <v>241</v>
      </c>
      <c r="D76" s="92" t="s">
        <v>246</v>
      </c>
      <c r="E76" s="86"/>
      <c r="F76" s="71" t="s">
        <v>195</v>
      </c>
      <c r="G76" s="12">
        <v>435.202</v>
      </c>
      <c r="H76" s="64">
        <v>0</v>
      </c>
      <c r="I76" s="64">
        <f>ROUND(G76*H76,2)</f>
        <v>0</v>
      </c>
      <c r="K76" s="45"/>
      <c r="Z76" s="12">
        <f>ROUND(IF(AQ76="5",BJ76,0),2)</f>
        <v>0</v>
      </c>
      <c r="AB76" s="12">
        <f>ROUND(IF(AQ76="1",BH76,0),2)</f>
        <v>0</v>
      </c>
      <c r="AC76" s="12">
        <f>ROUND(IF(AQ76="1",BI76,0),2)</f>
        <v>0</v>
      </c>
      <c r="AD76" s="12">
        <f>ROUND(IF(AQ76="7",BH76,0),2)</f>
        <v>0</v>
      </c>
      <c r="AE76" s="12">
        <f>ROUND(IF(AQ76="7",BI76,0),2)</f>
        <v>0</v>
      </c>
      <c r="AF76" s="12">
        <f>ROUND(IF(AQ76="2",BH76,0),2)</f>
        <v>0</v>
      </c>
      <c r="AG76" s="12">
        <f>ROUND(IF(AQ76="2",BI76,0),2)</f>
        <v>0</v>
      </c>
      <c r="AH76" s="12">
        <f>ROUND(IF(AQ76="0",BJ76,0),2)</f>
        <v>0</v>
      </c>
      <c r="AI76" s="41" t="s">
        <v>18</v>
      </c>
      <c r="AJ76" s="12">
        <f>IF(AN76=0,I76,0)</f>
        <v>0</v>
      </c>
      <c r="AK76" s="12">
        <f>IF(AN76=12,I76,0)</f>
        <v>0</v>
      </c>
      <c r="AL76" s="12">
        <f>IF(AN76=21,I76,0)</f>
        <v>0</v>
      </c>
      <c r="AN76" s="12">
        <v>21</v>
      </c>
      <c r="AO76" s="12">
        <f>H76*0</f>
        <v>0</v>
      </c>
      <c r="AP76" s="12">
        <f>H76*(1-0)</f>
        <v>0</v>
      </c>
      <c r="AQ76" s="11" t="s">
        <v>142</v>
      </c>
      <c r="AV76" s="12">
        <f>ROUND(AW76+AX76,2)</f>
        <v>0</v>
      </c>
      <c r="AW76" s="12">
        <f>ROUND(G76*AO76,2)</f>
        <v>0</v>
      </c>
      <c r="AX76" s="12">
        <f>ROUND(G76*AP76,2)</f>
        <v>0</v>
      </c>
      <c r="AY76" s="11" t="s">
        <v>235</v>
      </c>
      <c r="AZ76" s="11" t="s">
        <v>225</v>
      </c>
      <c r="BA76" s="41" t="s">
        <v>131</v>
      </c>
      <c r="BC76" s="12">
        <f>AW76+AX76</f>
        <v>0</v>
      </c>
      <c r="BD76" s="12">
        <f>H76/(100-BE76)*100</f>
        <v>0</v>
      </c>
      <c r="BE76" s="12">
        <v>0</v>
      </c>
      <c r="BF76" s="12">
        <f>74</f>
        <v>74</v>
      </c>
      <c r="BH76" s="12">
        <f>G76*AO76</f>
        <v>0</v>
      </c>
      <c r="BI76" s="12">
        <f>G76*AP76</f>
        <v>0</v>
      </c>
      <c r="BJ76" s="12">
        <f>G76*H76</f>
        <v>0</v>
      </c>
      <c r="BK76" s="12"/>
      <c r="BL76" s="12"/>
      <c r="BW76" s="12">
        <v>21</v>
      </c>
      <c r="BX76" s="73" t="s">
        <v>242</v>
      </c>
    </row>
    <row r="77" spans="1:76" x14ac:dyDescent="0.25">
      <c r="A77" s="77" t="s">
        <v>243</v>
      </c>
      <c r="B77" s="74" t="s">
        <v>18</v>
      </c>
      <c r="C77" s="74" t="s">
        <v>244</v>
      </c>
      <c r="D77" s="173" t="s">
        <v>245</v>
      </c>
      <c r="E77" s="90"/>
      <c r="F77" s="74" t="s">
        <v>195</v>
      </c>
      <c r="G77" s="53">
        <v>0.81</v>
      </c>
      <c r="H77" s="66">
        <v>0</v>
      </c>
      <c r="I77" s="66">
        <f>ROUND(G77*H77,2)</f>
        <v>0</v>
      </c>
      <c r="J77" s="187"/>
      <c r="K77" s="54"/>
      <c r="Z77" s="12">
        <f>ROUND(IF(AQ77="5",BJ77,0),2)</f>
        <v>0</v>
      </c>
      <c r="AB77" s="12">
        <f>ROUND(IF(AQ77="1",BH77,0),2)</f>
        <v>0</v>
      </c>
      <c r="AC77" s="12">
        <f>ROUND(IF(AQ77="1",BI77,0),2)</f>
        <v>0</v>
      </c>
      <c r="AD77" s="12">
        <f>ROUND(IF(AQ77="7",BH77,0),2)</f>
        <v>0</v>
      </c>
      <c r="AE77" s="12">
        <f>ROUND(IF(AQ77="7",BI77,0),2)</f>
        <v>0</v>
      </c>
      <c r="AF77" s="12">
        <f>ROUND(IF(AQ77="2",BH77,0),2)</f>
        <v>0</v>
      </c>
      <c r="AG77" s="12">
        <f>ROUND(IF(AQ77="2",BI77,0),2)</f>
        <v>0</v>
      </c>
      <c r="AH77" s="12">
        <f>ROUND(IF(AQ77="0",BJ77,0),2)</f>
        <v>0</v>
      </c>
      <c r="AI77" s="41" t="s">
        <v>18</v>
      </c>
      <c r="AJ77" s="12">
        <f>IF(AN77=0,I77,0)</f>
        <v>0</v>
      </c>
      <c r="AK77" s="12">
        <f>IF(AN77=12,I77,0)</f>
        <v>0</v>
      </c>
      <c r="AL77" s="12">
        <f>IF(AN77=21,I77,0)</f>
        <v>0</v>
      </c>
      <c r="AN77" s="12">
        <v>21</v>
      </c>
      <c r="AO77" s="12">
        <f>H77*0</f>
        <v>0</v>
      </c>
      <c r="AP77" s="12">
        <f>H77*(1-0)</f>
        <v>0</v>
      </c>
      <c r="AQ77" s="11" t="s">
        <v>142</v>
      </c>
      <c r="AV77" s="12">
        <f>ROUND(AW77+AX77,2)</f>
        <v>0</v>
      </c>
      <c r="AW77" s="12">
        <f>ROUND(G77*AO77,2)</f>
        <v>0</v>
      </c>
      <c r="AX77" s="12">
        <f>ROUND(G77*AP77,2)</f>
        <v>0</v>
      </c>
      <c r="AY77" s="11" t="s">
        <v>235</v>
      </c>
      <c r="AZ77" s="11" t="s">
        <v>225</v>
      </c>
      <c r="BA77" s="41" t="s">
        <v>131</v>
      </c>
      <c r="BC77" s="12">
        <f>AW77+AX77</f>
        <v>0</v>
      </c>
      <c r="BD77" s="12">
        <f>H77/(100-BE77)*100</f>
        <v>0</v>
      </c>
      <c r="BE77" s="12">
        <v>0</v>
      </c>
      <c r="BF77" s="12">
        <f>75</f>
        <v>75</v>
      </c>
      <c r="BH77" s="12">
        <f>G77*AO77</f>
        <v>0</v>
      </c>
      <c r="BI77" s="12">
        <f>G77*AP77</f>
        <v>0</v>
      </c>
      <c r="BJ77" s="12">
        <f>G77*H77</f>
        <v>0</v>
      </c>
      <c r="BK77" s="12"/>
      <c r="BL77" s="12"/>
      <c r="BW77" s="12">
        <v>21</v>
      </c>
      <c r="BX77" s="73" t="s">
        <v>245</v>
      </c>
    </row>
    <row r="78" spans="1:76" x14ac:dyDescent="0.25">
      <c r="I78" s="67">
        <f>ROUND(I12+I20+I25+I29+I31+I52+I59+I62+I66+I70,2)</f>
        <v>0</v>
      </c>
    </row>
    <row r="79" spans="1:76" x14ac:dyDescent="0.25">
      <c r="A79" s="55" t="s">
        <v>87</v>
      </c>
    </row>
  </sheetData>
  <sheetProtection algorithmName="SHA-512" hashValue="o/OZv/okWLRyAxpSpE5+SNznIs9SaJQG9MJQw7dG8QEd0UVRgpIOaBWJeAY8OmPZyzGo/hTX45VCk+MM5nthNg==" saltValue="IfDFt71TN6PcdBX+hkKlzA==" spinCount="100000" sheet="1" objects="1" scenarios="1"/>
  <mergeCells count="61">
    <mergeCell ref="A1:G1"/>
    <mergeCell ref="J4:J5"/>
    <mergeCell ref="J6:J7"/>
    <mergeCell ref="D77:E77"/>
    <mergeCell ref="D69:E69"/>
    <mergeCell ref="D70:E70"/>
    <mergeCell ref="D71:E71"/>
    <mergeCell ref="D73:E73"/>
    <mergeCell ref="D76:E76"/>
    <mergeCell ref="D64:E64"/>
    <mergeCell ref="D65:E65"/>
    <mergeCell ref="D66:E66"/>
    <mergeCell ref="D67:E67"/>
    <mergeCell ref="D68:E68"/>
    <mergeCell ref="D58:E58"/>
    <mergeCell ref="D59:E59"/>
    <mergeCell ref="D60:E60"/>
    <mergeCell ref="D62:E62"/>
    <mergeCell ref="D63:E63"/>
    <mergeCell ref="D32:E32"/>
    <mergeCell ref="D51:E51"/>
    <mergeCell ref="D52:E52"/>
    <mergeCell ref="D53:E53"/>
    <mergeCell ref="D56:E56"/>
    <mergeCell ref="D26:E26"/>
    <mergeCell ref="D27:E27"/>
    <mergeCell ref="D29:E29"/>
    <mergeCell ref="D30:E30"/>
    <mergeCell ref="D31:E31"/>
    <mergeCell ref="D18:E18"/>
    <mergeCell ref="D19:E19"/>
    <mergeCell ref="D20:E20"/>
    <mergeCell ref="D21:E21"/>
    <mergeCell ref="D25:E25"/>
    <mergeCell ref="D11:E11"/>
    <mergeCell ref="D12:E12"/>
    <mergeCell ref="D13:E13"/>
    <mergeCell ref="D16:E16"/>
    <mergeCell ref="D17:E17"/>
    <mergeCell ref="D10:E10"/>
    <mergeCell ref="D8:E9"/>
    <mergeCell ref="H2:H3"/>
    <mergeCell ref="H4:H5"/>
    <mergeCell ref="H6:H7"/>
    <mergeCell ref="H8:H9"/>
    <mergeCell ref="J8:J9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</mergeCells>
  <pageMargins left="0.393999993801117" right="0.393999993801117" top="0.59100002050399802" bottom="0.59100002050399802" header="0" footer="0"/>
  <pageSetup scale="5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 - součet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Švrčková Lenka</cp:lastModifiedBy>
  <cp:lastPrinted>2025-04-28T12:51:00Z</cp:lastPrinted>
  <dcterms:created xsi:type="dcterms:W3CDTF">2021-06-10T20:06:38Z</dcterms:created>
  <dcterms:modified xsi:type="dcterms:W3CDTF">2025-04-29T08:45:38Z</dcterms:modified>
</cp:coreProperties>
</file>